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8" activeTab="0"/>
  </bookViews>
  <sheets>
    <sheet name="mrówka" sheetId="1" r:id="rId1"/>
    <sheet name="TP" sheetId="2" r:id="rId2"/>
    <sheet name="TP_E1" sheetId="3" r:id="rId3"/>
    <sheet name="TP_E2" sheetId="4" r:id="rId4"/>
    <sheet name="TU" sheetId="5" r:id="rId5"/>
    <sheet name="TU_E1" sheetId="6" r:id="rId6"/>
    <sheet name="TU_E2" sheetId="7" r:id="rId7"/>
    <sheet name="TU_E3" sheetId="8" r:id="rId8"/>
    <sheet name="TU_E4" sheetId="9" r:id="rId9"/>
    <sheet name="TU_E5" sheetId="10" r:id="rId10"/>
    <sheet name="TZ" sheetId="11" r:id="rId11"/>
    <sheet name="TZ_E1" sheetId="12" r:id="rId12"/>
    <sheet name="TZ_E2" sheetId="13" r:id="rId13"/>
    <sheet name="TZ_E3" sheetId="14" r:id="rId14"/>
    <sheet name="TZ_E4" sheetId="15" r:id="rId15"/>
    <sheet name="TZ_E5" sheetId="16" r:id="rId16"/>
    <sheet name="dane_TP" sheetId="17" r:id="rId17"/>
    <sheet name="dane_TU" sheetId="18" r:id="rId18"/>
    <sheet name="dane_TZ" sheetId="19" r:id="rId19"/>
    <sheet name="stałe" sheetId="20" r:id="rId20"/>
  </sheets>
  <definedNames>
    <definedName name="_xlnm.Print_Area" localSheetId="11">'TZ_E1'!$A$1:$P$10</definedName>
    <definedName name="_TPE1">'stałe'!$H$2</definedName>
    <definedName name="_TPE2">'stałe'!$H$3</definedName>
    <definedName name="_TSE1">'stałe'!$B$2</definedName>
    <definedName name="_TSE2">'stałe'!$B$3</definedName>
    <definedName name="_TSE3">'stałe'!$B$4</definedName>
    <definedName name="_TSE4">'stałe'!$B$5</definedName>
    <definedName name="_TSE5">'stałe'!$B$6</definedName>
    <definedName name="_TUE1">'stałe'!$D$2</definedName>
    <definedName name="_TUE2">'stałe'!$D$3</definedName>
    <definedName name="_TUE3">'stałe'!$D$4</definedName>
    <definedName name="_TUE4">'stałe'!$D$5</definedName>
    <definedName name="_TUE5">'stałe'!$D$6</definedName>
    <definedName name="_xlnm.Print_Area" localSheetId="11">'TZ_E1'!$A$1:$P$10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>formuła:
stała etapu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 xml:space="preserve">formuła:
</t>
        </r>
        <r>
          <rPr>
            <sz val="8"/>
            <color indexed="8"/>
            <rFont val="Tahoma"/>
            <family val="2"/>
          </rPr>
          <t>punkty zwyciezcy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formuła:
stała etapu
</t>
        </r>
        <r>
          <rPr>
            <sz val="8"/>
            <color indexed="8"/>
            <rFont val="Tahoma"/>
            <family val="2"/>
          </rPr>
          <t/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 xml:space="preserve">formuła:
</t>
        </r>
        <r>
          <rPr>
            <sz val="8"/>
            <color indexed="8"/>
            <rFont val="Tahoma"/>
            <family val="2"/>
          </rPr>
          <t>punkty zwyciezcy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>formuła:
stała etapu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 xml:space="preserve">formuła:
</t>
        </r>
        <r>
          <rPr>
            <sz val="8"/>
            <color indexed="8"/>
            <rFont val="Tahoma"/>
            <family val="2"/>
          </rPr>
          <t>punkty zwyciezcy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>formuła:
stała etapu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 xml:space="preserve">formuła:
</t>
        </r>
        <r>
          <rPr>
            <sz val="8"/>
            <color indexed="8"/>
            <rFont val="Tahoma"/>
            <family val="2"/>
          </rPr>
          <t>punkty zwyciezcy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>formuła:
stała etapu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 xml:space="preserve">formuła:
</t>
        </r>
        <r>
          <rPr>
            <sz val="8"/>
            <color indexed="8"/>
            <rFont val="Tahoma"/>
            <family val="2"/>
          </rPr>
          <t>punkty zwyciezcy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>formuła:
stała etapu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 xml:space="preserve">formuła:
</t>
        </r>
        <r>
          <rPr>
            <sz val="8"/>
            <color indexed="8"/>
            <rFont val="Tahoma"/>
            <family val="2"/>
          </rPr>
          <t>punkty zwyciezcy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formuła:
stała etapu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 xml:space="preserve">formuła
</t>
        </r>
        <r>
          <rPr>
            <sz val="8"/>
            <color indexed="8"/>
            <rFont val="Tahoma"/>
            <family val="2"/>
          </rPr>
          <t>punkty zwyciezcy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formuła:
stała etapu
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 xml:space="preserve">formuła:
wynik zwycięzcy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>formuła:
stała etapu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>formuła
punkty zwyciezcy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>formuła:
stała etapu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 xml:space="preserve">formuła
</t>
        </r>
        <r>
          <rPr>
            <sz val="8"/>
            <color indexed="8"/>
            <rFont val="Tahoma"/>
            <family val="2"/>
          </rPr>
          <t>punkty zwyciezcy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formuła:
stała etapu
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>formuła
punkty zwyciezcy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>formuła:
stała etapu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 xml:space="preserve">formuła:
</t>
        </r>
        <r>
          <rPr>
            <sz val="8"/>
            <color indexed="8"/>
            <rFont val="Tahoma"/>
            <family val="2"/>
          </rPr>
          <t>punkty zwyciezcy</t>
        </r>
      </text>
    </comment>
  </commentList>
</comments>
</file>

<file path=xl/sharedStrings.xml><?xml version="1.0" encoding="utf-8"?>
<sst xmlns="http://schemas.openxmlformats.org/spreadsheetml/2006/main" count="530" uniqueCount="183">
  <si>
    <t>InO- Mrówka</t>
  </si>
  <si>
    <t>l.p.</t>
  </si>
  <si>
    <t>uczestnik</t>
  </si>
  <si>
    <t>czas [sek]</t>
  </si>
  <si>
    <t>punkty karne</t>
  </si>
  <si>
    <t>punkty karne za zadanie</t>
  </si>
  <si>
    <t>uwagi</t>
  </si>
  <si>
    <t>wynik</t>
  </si>
  <si>
    <t>Klasyfikacja indywidualna</t>
  </si>
  <si>
    <t>Jacek Wieszaczewski</t>
  </si>
  <si>
    <t>Sławomir Otap</t>
  </si>
  <si>
    <t>Mateusz Siejko</t>
  </si>
  <si>
    <t>zadanie 1 podano D5 powinno być D6</t>
  </si>
  <si>
    <t>Marcin Szajko- drugie podejście</t>
  </si>
  <si>
    <t>Andrzej Krochmal</t>
  </si>
  <si>
    <t>błąd w zadaniach 1,2 (odpowiedzi podane odwrotnie)</t>
  </si>
  <si>
    <t>Karolina Chałas</t>
  </si>
  <si>
    <t>BPK 1 i 2</t>
  </si>
  <si>
    <t>Kazimierz Makieła</t>
  </si>
  <si>
    <t>brak opisu IM;</t>
  </si>
  <si>
    <t>Krześniak Zuzanna</t>
  </si>
  <si>
    <t>BPK 2, źle wykonano zadanie 1</t>
  </si>
  <si>
    <t>Marcin Szajko</t>
  </si>
  <si>
    <t>Mikołaj Pająk</t>
  </si>
  <si>
    <t>błędnie wykonane wszystkie zadania</t>
  </si>
  <si>
    <t>Tomasz Gronau</t>
  </si>
  <si>
    <t>wszystkie zadanie źle rozwiązane</t>
  </si>
  <si>
    <t>Magdalena Prawda</t>
  </si>
  <si>
    <t>BPK 2, brak opisu PK1, źle wykonane zadania 1,3</t>
  </si>
  <si>
    <t>Adam Furga</t>
  </si>
  <si>
    <t>Klasyfikacja zespołowa</t>
  </si>
  <si>
    <t>Magda Maszewska,Jarosław Chodkowski</t>
  </si>
  <si>
    <t>PS1</t>
  </si>
  <si>
    <t>Adam Krochmal, Joanna Puternicka</t>
  </si>
  <si>
    <t>Dariusz Walczyna, Barbara Szmyt</t>
  </si>
  <si>
    <t>błędnie wykonane zadanie 1</t>
  </si>
  <si>
    <t>Wyniki TP</t>
  </si>
  <si>
    <t>Miejsce</t>
  </si>
  <si>
    <t>nr zespołu</t>
  </si>
  <si>
    <t>Imię i nazwisko</t>
  </si>
  <si>
    <t>Klub</t>
  </si>
  <si>
    <t>Etap 1</t>
  </si>
  <si>
    <t>Etap 2</t>
  </si>
  <si>
    <t>Po etapie 2</t>
  </si>
  <si>
    <t>punkty
karne</t>
  </si>
  <si>
    <t>punkty
przelicze-
niowe</t>
  </si>
  <si>
    <t>miejsce</t>
  </si>
  <si>
    <t>TKPZ Brzeźnica</t>
  </si>
  <si>
    <t>kategoria TP</t>
  </si>
  <si>
    <t>S</t>
  </si>
  <si>
    <t>szczegółowe wyniki etapu 1</t>
  </si>
  <si>
    <t>Pz</t>
  </si>
  <si>
    <t>czas</t>
  </si>
  <si>
    <t>zespół</t>
  </si>
  <si>
    <t>Nazwisko i imię</t>
  </si>
  <si>
    <t>Nazwa</t>
  </si>
  <si>
    <t>BPK (90)</t>
  </si>
  <si>
    <t>BPK (60)</t>
  </si>
  <si>
    <t>PS (25)</t>
  </si>
  <si>
    <t>PS (15)</t>
  </si>
  <si>
    <t>ZM (10)</t>
  </si>
  <si>
    <t>OPIS (10)</t>
  </si>
  <si>
    <t>PM (30)</t>
  </si>
  <si>
    <t>WK(30)</t>
  </si>
  <si>
    <t>ZK(30)</t>
  </si>
  <si>
    <t>Zadanie</t>
  </si>
  <si>
    <t>Czas</t>
  </si>
  <si>
    <t>Czy NKL?</t>
  </si>
  <si>
    <t>Suma</t>
  </si>
  <si>
    <t>PP</t>
  </si>
  <si>
    <t>2,3,4,5,6,8,9,10,11,12</t>
  </si>
  <si>
    <t>7,13,14</t>
  </si>
  <si>
    <t>1</t>
  </si>
  <si>
    <t>4,6,8,9,10,11,12,14</t>
  </si>
  <si>
    <t>2,3,7,13</t>
  </si>
  <si>
    <t>1,2,13</t>
  </si>
  <si>
    <t>5</t>
  </si>
  <si>
    <t>2,4,6,7,10</t>
  </si>
  <si>
    <t>9</t>
  </si>
  <si>
    <t>4,5,6,7,8,10,11,12</t>
  </si>
  <si>
    <t>4</t>
  </si>
  <si>
    <t>4,6,7,13</t>
  </si>
  <si>
    <t>6,10,14</t>
  </si>
  <si>
    <t>6,10</t>
  </si>
  <si>
    <t>4,7,9,13</t>
  </si>
  <si>
    <t>szczegółowe wyniki etapu 2</t>
  </si>
  <si>
    <t>7,9,10,B,C,D</t>
  </si>
  <si>
    <t>4,5,6,8</t>
  </si>
  <si>
    <t>A</t>
  </si>
  <si>
    <t>4,7,8,9,10,A,B,C,D</t>
  </si>
  <si>
    <t>2,3,5,6</t>
  </si>
  <si>
    <t>D</t>
  </si>
  <si>
    <t>4,6,7,8,9,B,C</t>
  </si>
  <si>
    <t>A,B,C</t>
  </si>
  <si>
    <t>6,7,8,9,10,A,B,C,D</t>
  </si>
  <si>
    <t>nie startował</t>
  </si>
  <si>
    <t>Wyniki TU</t>
  </si>
  <si>
    <t>Etap 3</t>
  </si>
  <si>
    <t>Etap 4</t>
  </si>
  <si>
    <t>Etap 5</t>
  </si>
  <si>
    <t>Po etapie 5</t>
  </si>
  <si>
    <t>TMWiM</t>
  </si>
  <si>
    <t>kategoria TU</t>
  </si>
  <si>
    <t>5,4,1</t>
  </si>
  <si>
    <t>D,C</t>
  </si>
  <si>
    <t>B,K</t>
  </si>
  <si>
    <t>C,F,G,H,I</t>
  </si>
  <si>
    <t>E,H,F</t>
  </si>
  <si>
    <t>F,C</t>
  </si>
  <si>
    <t>K</t>
  </si>
  <si>
    <t>F,E,B,C,D</t>
  </si>
  <si>
    <t>B,C,D,E,F</t>
  </si>
  <si>
    <t>szczegółowe wyniki etapu 3</t>
  </si>
  <si>
    <t>szczegółowe wyniki etapu 4</t>
  </si>
  <si>
    <t>szczegółowe wyniki etapu 5</t>
  </si>
  <si>
    <t>Wyniki TZ</t>
  </si>
  <si>
    <t>kategoria TZ</t>
  </si>
  <si>
    <t>zespoł</t>
  </si>
  <si>
    <t>D,2</t>
  </si>
  <si>
    <t>C</t>
  </si>
  <si>
    <t>5,D</t>
  </si>
  <si>
    <t>6,10,4</t>
  </si>
  <si>
    <t>6,10,11,7</t>
  </si>
  <si>
    <t>E,K</t>
  </si>
  <si>
    <t>B,e,F,K,M</t>
  </si>
  <si>
    <t>F,</t>
  </si>
  <si>
    <t>C,J</t>
  </si>
  <si>
    <t>F</t>
  </si>
  <si>
    <t>B,E</t>
  </si>
  <si>
    <t>L</t>
  </si>
  <si>
    <t>B,E,I,J,K</t>
  </si>
  <si>
    <t>M.L</t>
  </si>
  <si>
    <t>B,E,K,M</t>
  </si>
  <si>
    <t>LOPx3;5</t>
  </si>
  <si>
    <t>LOP BPK</t>
  </si>
  <si>
    <t>LOPx3</t>
  </si>
  <si>
    <t>LOPx4</t>
  </si>
  <si>
    <t>nr zespolu</t>
  </si>
  <si>
    <t>nazwisko</t>
  </si>
  <si>
    <t>zespol</t>
  </si>
  <si>
    <t>Aleksandra Gajda
Sylwia Gorzkowska
Magdalena Prawda
Zuzanna Krześniak</t>
  </si>
  <si>
    <t>Artur Kurek
Adam Furga
Mikołaj Pająk</t>
  </si>
  <si>
    <t>Karolina Chałas
Paulina Woźniak
Jakub Banaszek</t>
  </si>
  <si>
    <t>Wioletta Prawda
Natalia Kominek
Aleksandra Banaszek</t>
  </si>
  <si>
    <t>Patrycja Gajda
Karolina Kuty
Ilona Wróbel</t>
  </si>
  <si>
    <t>Oskar Kozłowski
Hubert Krzosek</t>
  </si>
  <si>
    <t>ZSP Białobrzegi</t>
  </si>
  <si>
    <t>Anna Trybuła
Ewelina Czarnecka</t>
  </si>
  <si>
    <t>Lemury</t>
  </si>
  <si>
    <t>Norbert Czarnecki
Mirosław Trybuła
Zalewski Sławomir</t>
  </si>
  <si>
    <t xml:space="preserve"> </t>
  </si>
  <si>
    <t>Róża Morąg
Julia Kozłowska</t>
  </si>
  <si>
    <t>PG 23 Radom</t>
  </si>
  <si>
    <t>Joanna Badowska
Wioletta Ziemnicka</t>
  </si>
  <si>
    <t>Magda Maszewska
Jarosław Chodkowski</t>
  </si>
  <si>
    <t>Chrupki SKPB Trail Team</t>
  </si>
  <si>
    <t>Michal Murgrabia
Krzysztof Chojnowski</t>
  </si>
  <si>
    <t>Bracia Koala
Skierniewice</t>
  </si>
  <si>
    <t>Zuzanna Żak
Luiza Rosłanowska
Urszula Piasecka</t>
  </si>
  <si>
    <t>Rafał Łyżwa
Kuba Kosterna</t>
  </si>
  <si>
    <t>Przybylski Andrzej
Kozakiewicz Ewa</t>
  </si>
  <si>
    <t>Andrzej Krochmal
Tomasz Gronau</t>
  </si>
  <si>
    <t>HKT "TREP" PTTK Warszawa Praga Płd.</t>
  </si>
  <si>
    <t>Joanna Puternicka
Wieszaczewski Jacek</t>
  </si>
  <si>
    <t>Wrocław</t>
  </si>
  <si>
    <t>Otap Sławomir</t>
  </si>
  <si>
    <t>Warszawa</t>
  </si>
  <si>
    <t>Mariusz Góraj
Robert Chruślak</t>
  </si>
  <si>
    <t>Skróty Radom</t>
  </si>
  <si>
    <t>Barbara Szmyt
Dariusz Walczyna</t>
  </si>
  <si>
    <t>Stowarzysze Warszawa</t>
  </si>
  <si>
    <t>Anna Natuszewicz
Kamil Herman</t>
  </si>
  <si>
    <t>Marcin Szajko
Adam Krochmal</t>
  </si>
  <si>
    <t>Mateusz Sieńko
Frynas Sławomir</t>
  </si>
  <si>
    <t>Lublin</t>
  </si>
  <si>
    <t>TS</t>
  </si>
  <si>
    <t>TJ/TM</t>
  </si>
  <si>
    <t>TD</t>
  </si>
  <si>
    <t>E1</t>
  </si>
  <si>
    <t>E2</t>
  </si>
  <si>
    <t>E3</t>
  </si>
  <si>
    <t>E4</t>
  </si>
  <si>
    <t>E5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</si>
</sst>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13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59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/>
    </xf>
    <xf numFmtId="164" fontId="0" fillId="3" borderId="2" xfId="0" applyFont="1" applyFill="1" applyBorder="1" applyAlignment="1">
      <alignment wrapText="1"/>
    </xf>
    <xf numFmtId="164" fontId="0" fillId="4" borderId="2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4" borderId="0" xfId="0" applyFont="1" applyFill="1" applyBorder="1" applyAlignment="1">
      <alignment horizontal="center"/>
    </xf>
    <xf numFmtId="164" fontId="0" fillId="0" borderId="2" xfId="0" applyFill="1" applyBorder="1" applyAlignment="1">
      <alignment/>
    </xf>
    <xf numFmtId="164" fontId="0" fillId="0" borderId="2" xfId="0" applyFont="1" applyBorder="1" applyAlignment="1">
      <alignment horizontal="left" vertical="center" wrapText="1"/>
    </xf>
    <xf numFmtId="165" fontId="1" fillId="5" borderId="2" xfId="0" applyNumberFormat="1" applyFont="1" applyFill="1" applyBorder="1" applyAlignment="1">
      <alignment horizontal="center" vertical="center" textRotation="90" wrapText="1"/>
    </xf>
    <xf numFmtId="165" fontId="1" fillId="6" borderId="2" xfId="0" applyNumberFormat="1" applyFont="1" applyFill="1" applyBorder="1" applyAlignment="1">
      <alignment horizontal="center" vertical="center" textRotation="90" wrapText="1"/>
    </xf>
    <xf numFmtId="165" fontId="1" fillId="5" borderId="2" xfId="0" applyNumberFormat="1" applyFont="1" applyFill="1" applyBorder="1" applyAlignment="1">
      <alignment horizontal="center" vertical="center" wrapText="1"/>
    </xf>
    <xf numFmtId="166" fontId="2" fillId="5" borderId="2" xfId="0" applyNumberFormat="1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center" vertical="center" wrapText="1"/>
    </xf>
    <xf numFmtId="166" fontId="1" fillId="5" borderId="2" xfId="0" applyNumberFormat="1" applyFont="1" applyFill="1" applyBorder="1" applyAlignment="1">
      <alignment horizontal="center" vertical="center" textRotation="90" wrapText="1"/>
    </xf>
    <xf numFmtId="165" fontId="1" fillId="5" borderId="3" xfId="0" applyNumberFormat="1" applyFont="1" applyFill="1" applyBorder="1" applyAlignment="1">
      <alignment horizontal="center" vertical="center" textRotation="90" wrapText="1"/>
    </xf>
    <xf numFmtId="167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7" fontId="0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4" fontId="0" fillId="0" borderId="2" xfId="0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vertical="center" wrapText="1"/>
    </xf>
    <xf numFmtId="164" fontId="0" fillId="0" borderId="2" xfId="0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7" borderId="4" xfId="0" applyFont="1" applyFill="1" applyBorder="1" applyAlignment="1">
      <alignment horizontal="center"/>
    </xf>
    <xf numFmtId="164" fontId="2" fillId="7" borderId="5" xfId="0" applyFont="1" applyFill="1" applyBorder="1" applyAlignment="1">
      <alignment horizontal="center"/>
    </xf>
    <xf numFmtId="164" fontId="2" fillId="7" borderId="5" xfId="0" applyFont="1" applyFill="1" applyBorder="1" applyAlignment="1">
      <alignment horizontal="center" wrapText="1"/>
    </xf>
    <xf numFmtId="164" fontId="2" fillId="7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8" borderId="2" xfId="0" applyFont="1" applyFill="1" applyBorder="1" applyAlignment="1">
      <alignment horizontal="center"/>
    </xf>
    <xf numFmtId="167" fontId="2" fillId="9" borderId="2" xfId="0" applyNumberFormat="1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 wrapText="1"/>
    </xf>
    <xf numFmtId="165" fontId="0" fillId="0" borderId="8" xfId="0" applyNumberFormat="1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2" fillId="8" borderId="7" xfId="0" applyFont="1" applyFill="1" applyBorder="1" applyAlignment="1">
      <alignment horizontal="center"/>
    </xf>
    <xf numFmtId="167" fontId="2" fillId="9" borderId="7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" xfId="0" applyFont="1" applyFill="1" applyBorder="1" applyAlignment="1">
      <alignment horizontal="center" wrapText="1"/>
    </xf>
    <xf numFmtId="164" fontId="0" fillId="0" borderId="8" xfId="0" applyFont="1" applyBorder="1" applyAlignment="1">
      <alignment horizontal="center"/>
    </xf>
    <xf numFmtId="164" fontId="0" fillId="0" borderId="7" xfId="0" applyFont="1" applyFill="1" applyBorder="1" applyAlignment="1">
      <alignment horizontal="center" wrapText="1"/>
    </xf>
    <xf numFmtId="164" fontId="0" fillId="4" borderId="0" xfId="0" applyFont="1" applyFill="1" applyBorder="1" applyAlignment="1">
      <alignment/>
    </xf>
    <xf numFmtId="164" fontId="0" fillId="4" borderId="0" xfId="0" applyFill="1" applyAlignment="1">
      <alignment/>
    </xf>
    <xf numFmtId="164" fontId="0" fillId="3" borderId="2" xfId="0" applyFont="1" applyFill="1" applyBorder="1" applyAlignment="1">
      <alignment horizontal="center" textRotation="90"/>
    </xf>
    <xf numFmtId="167" fontId="0" fillId="0" borderId="2" xfId="0" applyNumberFormat="1" applyFont="1" applyBorder="1" applyAlignment="1">
      <alignment horizontal="center" wrapText="1"/>
    </xf>
    <xf numFmtId="164" fontId="0" fillId="0" borderId="2" xfId="0" applyBorder="1" applyAlignment="1">
      <alignment horizontal="center" vertical="center" wrapText="1"/>
    </xf>
    <xf numFmtId="167" fontId="0" fillId="0" borderId="2" xfId="0" applyNumberFormat="1" applyFont="1" applyBorder="1" applyAlignment="1" applyProtection="1">
      <alignment horizontal="center" wrapText="1"/>
      <protection locked="0"/>
    </xf>
    <xf numFmtId="166" fontId="0" fillId="0" borderId="2" xfId="0" applyNumberFormat="1" applyFont="1" applyBorder="1" applyAlignment="1">
      <alignment horizontal="center" wrapText="1"/>
    </xf>
    <xf numFmtId="167" fontId="0" fillId="0" borderId="3" xfId="0" applyNumberFormat="1" applyFont="1" applyBorder="1" applyAlignment="1">
      <alignment horizontal="center" wrapText="1"/>
    </xf>
    <xf numFmtId="164" fontId="0" fillId="10" borderId="2" xfId="0" applyFill="1" applyBorder="1" applyAlignment="1">
      <alignment/>
    </xf>
    <xf numFmtId="167" fontId="0" fillId="10" borderId="2" xfId="0" applyNumberFormat="1" applyFill="1" applyBorder="1" applyAlignment="1">
      <alignment/>
    </xf>
    <xf numFmtId="164" fontId="2" fillId="7" borderId="3" xfId="0" applyFont="1" applyFill="1" applyBorder="1" applyAlignment="1">
      <alignment horizontal="center"/>
    </xf>
    <xf numFmtId="164" fontId="2" fillId="7" borderId="9" xfId="0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center" wrapText="1"/>
    </xf>
    <xf numFmtId="164" fontId="2" fillId="8" borderId="4" xfId="0" applyFont="1" applyFill="1" applyBorder="1" applyAlignment="1">
      <alignment horizontal="center"/>
    </xf>
    <xf numFmtId="167" fontId="2" fillId="9" borderId="4" xfId="0" applyNumberFormat="1" applyFont="1" applyFill="1" applyBorder="1" applyAlignment="1">
      <alignment horizontal="center"/>
    </xf>
    <xf numFmtId="164" fontId="0" fillId="4" borderId="0" xfId="0" applyFont="1" applyFill="1" applyAlignment="1">
      <alignment/>
    </xf>
    <xf numFmtId="165" fontId="1" fillId="5" borderId="4" xfId="0" applyNumberFormat="1" applyFont="1" applyFill="1" applyBorder="1" applyAlignment="1">
      <alignment horizontal="center" vertical="center" textRotation="90" wrapText="1"/>
    </xf>
    <xf numFmtId="165" fontId="1" fillId="6" borderId="4" xfId="0" applyNumberFormat="1" applyFont="1" applyFill="1" applyBorder="1" applyAlignment="1">
      <alignment horizontal="center" vertical="center" textRotation="90" wrapText="1"/>
    </xf>
    <xf numFmtId="165" fontId="1" fillId="5" borderId="4" xfId="0" applyNumberFormat="1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textRotation="90"/>
    </xf>
    <xf numFmtId="166" fontId="1" fillId="5" borderId="4" xfId="0" applyNumberFormat="1" applyFont="1" applyFill="1" applyBorder="1" applyAlignment="1">
      <alignment horizontal="center" vertical="center" textRotation="90" wrapText="1"/>
    </xf>
    <xf numFmtId="165" fontId="1" fillId="5" borderId="11" xfId="0" applyNumberFormat="1" applyFont="1" applyFill="1" applyBorder="1" applyAlignment="1">
      <alignment horizontal="center" vertical="center" textRotation="90" wrapText="1"/>
    </xf>
    <xf numFmtId="164" fontId="0" fillId="0" borderId="2" xfId="0" applyBorder="1" applyAlignment="1">
      <alignment horizontal="center" vertical="center"/>
    </xf>
    <xf numFmtId="164" fontId="0" fillId="4" borderId="0" xfId="0" applyFont="1" applyFill="1" applyAlignment="1">
      <alignment/>
    </xf>
    <xf numFmtId="164" fontId="0" fillId="0" borderId="2" xfId="0" applyNumberFormat="1" applyFont="1" applyBorder="1" applyAlignment="1">
      <alignment horizontal="center" wrapText="1"/>
    </xf>
    <xf numFmtId="164" fontId="2" fillId="7" borderId="7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 wrapText="1"/>
    </xf>
    <xf numFmtId="164" fontId="9" fillId="4" borderId="0" xfId="0" applyFont="1" applyFill="1" applyBorder="1" applyAlignment="1">
      <alignment horizontal="center"/>
    </xf>
    <xf numFmtId="164" fontId="9" fillId="4" borderId="0" xfId="0" applyFont="1" applyFill="1" applyAlignment="1">
      <alignment/>
    </xf>
    <xf numFmtId="164" fontId="10" fillId="0" borderId="0" xfId="0" applyFont="1" applyAlignment="1">
      <alignment/>
    </xf>
    <xf numFmtId="164" fontId="5" fillId="0" borderId="2" xfId="0" applyFont="1" applyBorder="1" applyAlignment="1">
      <alignment vertical="center" wrapText="1"/>
    </xf>
    <xf numFmtId="164" fontId="5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/>
    </xf>
    <xf numFmtId="164" fontId="0" fillId="0" borderId="2" xfId="0" applyFont="1" applyFill="1" applyBorder="1" applyAlignment="1">
      <alignment horizontal="left" vertical="center"/>
    </xf>
    <xf numFmtId="164" fontId="4" fillId="0" borderId="2" xfId="0" applyFont="1" applyBorder="1" applyAlignment="1">
      <alignment horizontal="left" vertical="center" wrapText="1"/>
    </xf>
    <xf numFmtId="164" fontId="0" fillId="0" borderId="2" xfId="0" applyBorder="1" applyAlignment="1">
      <alignment horizontal="left" vertical="center"/>
    </xf>
    <xf numFmtId="167" fontId="11" fillId="0" borderId="2" xfId="0" applyNumberFormat="1" applyFont="1" applyBorder="1" applyAlignment="1" applyProtection="1">
      <alignment horizontal="left" vertical="center" wrapText="1"/>
      <protection locked="0"/>
    </xf>
    <xf numFmtId="167" fontId="0" fillId="0" borderId="2" xfId="0" applyNumberFormat="1" applyFont="1" applyBorder="1" applyAlignment="1" applyProtection="1">
      <alignment horizontal="left" vertical="center" wrapText="1"/>
      <protection locked="0"/>
    </xf>
    <xf numFmtId="164" fontId="0" fillId="0" borderId="2" xfId="0" applyFill="1" applyBorder="1" applyAlignment="1">
      <alignment horizontal="left" vertical="center"/>
    </xf>
    <xf numFmtId="164" fontId="0" fillId="11" borderId="4" xfId="0" applyFont="1" applyFill="1" applyBorder="1" applyAlignment="1">
      <alignment horizontal="center"/>
    </xf>
    <xf numFmtId="164" fontId="0" fillId="4" borderId="4" xfId="0" applyFont="1" applyFill="1" applyBorder="1" applyAlignment="1">
      <alignment horizontal="center"/>
    </xf>
    <xf numFmtId="164" fontId="0" fillId="12" borderId="4" xfId="0" applyFont="1" applyFill="1" applyBorder="1" applyAlignment="1">
      <alignment horizontal="center"/>
    </xf>
    <xf numFmtId="164" fontId="0" fillId="13" borderId="11" xfId="0" applyFill="1" applyBorder="1" applyAlignment="1">
      <alignment horizontal="center"/>
    </xf>
    <xf numFmtId="164" fontId="0" fillId="13" borderId="5" xfId="0" applyFill="1" applyBorder="1" applyAlignment="1">
      <alignment horizontal="center"/>
    </xf>
    <xf numFmtId="164" fontId="0" fillId="11" borderId="9" xfId="0" applyFont="1" applyFill="1" applyBorder="1" applyAlignment="1">
      <alignment/>
    </xf>
    <xf numFmtId="164" fontId="0" fillId="11" borderId="8" xfId="0" applyFill="1" applyBorder="1" applyAlignment="1">
      <alignment/>
    </xf>
    <xf numFmtId="164" fontId="0" fillId="4" borderId="9" xfId="0" applyFont="1" applyFill="1" applyBorder="1" applyAlignment="1">
      <alignment/>
    </xf>
    <xf numFmtId="164" fontId="0" fillId="4" borderId="8" xfId="0" applyFill="1" applyBorder="1" applyAlignment="1">
      <alignment/>
    </xf>
    <xf numFmtId="164" fontId="0" fillId="12" borderId="9" xfId="0" applyFont="1" applyFill="1" applyBorder="1" applyAlignment="1">
      <alignment/>
    </xf>
    <xf numFmtId="164" fontId="0" fillId="13" borderId="9" xfId="0" applyFill="1" applyBorder="1" applyAlignment="1">
      <alignment/>
    </xf>
    <xf numFmtId="164" fontId="0" fillId="13" borderId="8" xfId="0" applyFill="1" applyBorder="1" applyAlignment="1">
      <alignment/>
    </xf>
    <xf numFmtId="164" fontId="0" fillId="12" borderId="8" xfId="0" applyFill="1" applyBorder="1" applyAlignment="1">
      <alignment/>
    </xf>
    <xf numFmtId="164" fontId="0" fillId="11" borderId="12" xfId="0" applyFont="1" applyFill="1" applyBorder="1" applyAlignment="1">
      <alignment/>
    </xf>
    <xf numFmtId="164" fontId="0" fillId="11" borderId="13" xfId="0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4" borderId="13" xfId="0" applyFill="1" applyBorder="1" applyAlignment="1">
      <alignment/>
    </xf>
    <xf numFmtId="164" fontId="0" fillId="4" borderId="12" xfId="0" applyFont="1" applyFill="1" applyBorder="1" applyAlignment="1">
      <alignment/>
    </xf>
    <xf numFmtId="164" fontId="0" fillId="12" borderId="1" xfId="0" applyFont="1" applyFill="1" applyBorder="1" applyAlignment="1">
      <alignment/>
    </xf>
    <xf numFmtId="164" fontId="0" fillId="12" borderId="13" xfId="0" applyFill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8.7109375" style="0" customWidth="1"/>
    <col min="2" max="2" width="31.421875" style="0" customWidth="1"/>
    <col min="3" max="3" width="8.7109375" style="0" customWidth="1"/>
    <col min="4" max="4" width="11.7109375" style="0" customWidth="1"/>
    <col min="5" max="5" width="11.421875" style="0" customWidth="1"/>
    <col min="6" max="6" width="45.421875" style="0" customWidth="1"/>
    <col min="7" max="16384" width="8.710937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2" spans="1:7" ht="33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spans="1:7" ht="15" customHeight="1">
      <c r="A3" s="4" t="s">
        <v>8</v>
      </c>
      <c r="B3" s="4"/>
      <c r="C3" s="4"/>
      <c r="D3" s="4"/>
      <c r="E3" s="4"/>
      <c r="F3" s="4"/>
      <c r="G3" s="4"/>
    </row>
    <row r="4" spans="1:7" ht="12.75" customHeight="1">
      <c r="A4" s="5">
        <f aca="true" t="shared" si="0" ref="A4:A16">RANK(G4,$G$4:$G$16,1)</f>
        <v>1</v>
      </c>
      <c r="B4" s="5" t="s">
        <v>9</v>
      </c>
      <c r="C4" s="5">
        <v>202</v>
      </c>
      <c r="D4" s="5"/>
      <c r="E4" s="5"/>
      <c r="F4" s="5"/>
      <c r="G4" s="5">
        <f aca="true" t="shared" si="1" ref="G4:G16">((C4-60)*1)+D4+E4</f>
        <v>142</v>
      </c>
    </row>
    <row r="5" spans="1:7" ht="12.75" customHeight="1">
      <c r="A5" s="5">
        <f t="shared" si="0"/>
        <v>2</v>
      </c>
      <c r="B5" s="5" t="s">
        <v>10</v>
      </c>
      <c r="C5" s="5">
        <v>224</v>
      </c>
      <c r="D5" s="5"/>
      <c r="E5" s="5"/>
      <c r="F5" s="5"/>
      <c r="G5" s="5">
        <f t="shared" si="1"/>
        <v>164</v>
      </c>
    </row>
    <row r="6" spans="1:7" ht="12.75" customHeight="1">
      <c r="A6" s="5">
        <f t="shared" si="0"/>
        <v>3</v>
      </c>
      <c r="B6" s="5" t="s">
        <v>11</v>
      </c>
      <c r="C6" s="5">
        <v>205</v>
      </c>
      <c r="D6" s="5"/>
      <c r="E6" s="5">
        <v>120</v>
      </c>
      <c r="F6" s="5" t="s">
        <v>12</v>
      </c>
      <c r="G6" s="5">
        <f t="shared" si="1"/>
        <v>265</v>
      </c>
    </row>
    <row r="7" spans="1:7" ht="12.75" customHeight="1">
      <c r="A7" s="5">
        <f t="shared" si="0"/>
        <v>4</v>
      </c>
      <c r="B7" s="5" t="s">
        <v>13</v>
      </c>
      <c r="C7" s="5">
        <v>243</v>
      </c>
      <c r="D7" s="5"/>
      <c r="E7" s="5">
        <v>120</v>
      </c>
      <c r="F7" s="5" t="s">
        <v>12</v>
      </c>
      <c r="G7" s="5">
        <f t="shared" si="1"/>
        <v>303</v>
      </c>
    </row>
    <row r="8" spans="1:7" ht="12.75" customHeight="1">
      <c r="A8" s="5">
        <f t="shared" si="0"/>
        <v>5</v>
      </c>
      <c r="B8" s="5" t="s">
        <v>14</v>
      </c>
      <c r="C8" s="5">
        <v>146</v>
      </c>
      <c r="D8" s="5">
        <v>0</v>
      </c>
      <c r="E8" s="5">
        <v>240</v>
      </c>
      <c r="F8" s="5" t="s">
        <v>15</v>
      </c>
      <c r="G8" s="5">
        <f t="shared" si="1"/>
        <v>326</v>
      </c>
    </row>
    <row r="9" spans="1:7" ht="12.75" customHeight="1">
      <c r="A9" s="5">
        <f t="shared" si="0"/>
        <v>6</v>
      </c>
      <c r="B9" s="5" t="s">
        <v>16</v>
      </c>
      <c r="C9" s="5">
        <v>213</v>
      </c>
      <c r="D9" s="5">
        <v>180</v>
      </c>
      <c r="E9" s="5"/>
      <c r="F9" s="5" t="s">
        <v>17</v>
      </c>
      <c r="G9" s="5">
        <f t="shared" si="1"/>
        <v>333</v>
      </c>
    </row>
    <row r="10" spans="1:7" ht="12.75" customHeight="1">
      <c r="A10" s="5">
        <f t="shared" si="0"/>
        <v>7</v>
      </c>
      <c r="B10" s="5" t="s">
        <v>18</v>
      </c>
      <c r="C10" s="5">
        <v>394</v>
      </c>
      <c r="D10" s="5">
        <v>10</v>
      </c>
      <c r="E10" s="5">
        <v>0</v>
      </c>
      <c r="F10" s="5" t="s">
        <v>19</v>
      </c>
      <c r="G10" s="5">
        <f t="shared" si="1"/>
        <v>344</v>
      </c>
    </row>
    <row r="11" spans="1:7" ht="12.75" customHeight="1">
      <c r="A11" s="5">
        <f t="shared" si="0"/>
        <v>8</v>
      </c>
      <c r="B11" s="5" t="s">
        <v>20</v>
      </c>
      <c r="C11" s="5">
        <v>213</v>
      </c>
      <c r="D11" s="5">
        <v>90</v>
      </c>
      <c r="E11" s="5">
        <v>120</v>
      </c>
      <c r="F11" s="5" t="s">
        <v>21</v>
      </c>
      <c r="G11" s="5">
        <f t="shared" si="1"/>
        <v>363</v>
      </c>
    </row>
    <row r="12" spans="1:7" ht="12.75" customHeight="1">
      <c r="A12" s="5">
        <f t="shared" si="0"/>
        <v>9</v>
      </c>
      <c r="B12" s="5" t="s">
        <v>22</v>
      </c>
      <c r="C12" s="5">
        <v>205</v>
      </c>
      <c r="D12" s="5">
        <v>180</v>
      </c>
      <c r="E12" s="5">
        <v>120</v>
      </c>
      <c r="F12" s="5" t="s">
        <v>12</v>
      </c>
      <c r="G12" s="5">
        <f t="shared" si="1"/>
        <v>445</v>
      </c>
    </row>
    <row r="13" spans="1:7" ht="12.75" customHeight="1">
      <c r="A13" s="5">
        <f t="shared" si="0"/>
        <v>10</v>
      </c>
      <c r="B13" s="5" t="s">
        <v>23</v>
      </c>
      <c r="C13" s="5">
        <v>184</v>
      </c>
      <c r="D13" s="5">
        <v>0</v>
      </c>
      <c r="E13" s="5">
        <v>360</v>
      </c>
      <c r="F13" s="5" t="s">
        <v>24</v>
      </c>
      <c r="G13" s="5">
        <f t="shared" si="1"/>
        <v>484</v>
      </c>
    </row>
    <row r="14" spans="1:7" ht="12.75" customHeight="1">
      <c r="A14" s="5">
        <f t="shared" si="0"/>
        <v>11</v>
      </c>
      <c r="B14" s="5" t="s">
        <v>25</v>
      </c>
      <c r="C14" s="5">
        <v>204</v>
      </c>
      <c r="D14" s="5"/>
      <c r="E14" s="5">
        <v>360</v>
      </c>
      <c r="F14" s="5" t="s">
        <v>26</v>
      </c>
      <c r="G14" s="5">
        <f t="shared" si="1"/>
        <v>504</v>
      </c>
    </row>
    <row r="15" spans="1:7" ht="12.75" customHeight="1">
      <c r="A15" s="5">
        <f t="shared" si="0"/>
        <v>12</v>
      </c>
      <c r="B15" s="5" t="s">
        <v>27</v>
      </c>
      <c r="C15" s="5">
        <v>268</v>
      </c>
      <c r="D15" s="5">
        <v>100</v>
      </c>
      <c r="E15" s="5">
        <v>240</v>
      </c>
      <c r="F15" s="5" t="s">
        <v>28</v>
      </c>
      <c r="G15" s="5">
        <f t="shared" si="1"/>
        <v>548</v>
      </c>
    </row>
    <row r="16" spans="1:7" ht="12.75" customHeight="1">
      <c r="A16" s="5">
        <f t="shared" si="0"/>
        <v>13</v>
      </c>
      <c r="B16" s="5" t="s">
        <v>29</v>
      </c>
      <c r="C16" s="5">
        <v>328</v>
      </c>
      <c r="D16" s="5">
        <v>100</v>
      </c>
      <c r="E16" s="5">
        <v>240</v>
      </c>
      <c r="F16" s="5" t="s">
        <v>28</v>
      </c>
      <c r="G16" s="5">
        <f t="shared" si="1"/>
        <v>608</v>
      </c>
    </row>
    <row r="17" spans="1:7" ht="12.75" customHeight="1">
      <c r="A17" s="6" t="s">
        <v>30</v>
      </c>
      <c r="B17" s="6"/>
      <c r="C17" s="6"/>
      <c r="D17" s="6"/>
      <c r="E17" s="6"/>
      <c r="F17" s="6"/>
      <c r="G17" s="6"/>
    </row>
    <row r="18" spans="1:7" ht="25.5" customHeight="1">
      <c r="A18" s="7">
        <f>RANK(G18,$G$18:$G$20,1)</f>
        <v>1</v>
      </c>
      <c r="B18" s="8" t="s">
        <v>31</v>
      </c>
      <c r="C18" s="5">
        <v>116</v>
      </c>
      <c r="D18" s="5">
        <v>25</v>
      </c>
      <c r="E18" s="5"/>
      <c r="F18" s="5" t="s">
        <v>32</v>
      </c>
      <c r="G18" s="5">
        <f>((C18-60)*1)+D18+E18</f>
        <v>81</v>
      </c>
    </row>
    <row r="19" spans="1:7" ht="12.75" customHeight="1">
      <c r="A19" s="7">
        <f>RANK(G19,$G$18:$G$20,1)</f>
        <v>2</v>
      </c>
      <c r="B19" s="5" t="s">
        <v>33</v>
      </c>
      <c r="C19" s="5">
        <v>227</v>
      </c>
      <c r="D19" s="5">
        <v>25</v>
      </c>
      <c r="E19" s="5"/>
      <c r="F19" s="5" t="s">
        <v>32</v>
      </c>
      <c r="G19" s="5">
        <f>((C19-60)*1)+D19+E19</f>
        <v>192</v>
      </c>
    </row>
    <row r="20" spans="1:7" ht="12.75" customHeight="1">
      <c r="A20" s="7">
        <f>RANK(G20,$G$18:$G$20,1)</f>
        <v>3</v>
      </c>
      <c r="B20" s="5" t="s">
        <v>34</v>
      </c>
      <c r="C20" s="5">
        <v>182</v>
      </c>
      <c r="D20" s="5"/>
      <c r="E20" s="5">
        <v>120</v>
      </c>
      <c r="F20" s="5" t="s">
        <v>35</v>
      </c>
      <c r="G20" s="5">
        <f>((C20-60)*1)+D20+E20</f>
        <v>242</v>
      </c>
    </row>
  </sheetData>
  <sheetProtection selectLockedCells="1" selectUnlockedCells="1"/>
  <mergeCells count="3">
    <mergeCell ref="A1:G1"/>
    <mergeCell ref="A3:G3"/>
    <mergeCell ref="A17:G1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workbookViewId="0" topLeftCell="A1">
      <selection activeCell="E11" sqref="E11"/>
    </sheetView>
  </sheetViews>
  <sheetFormatPr defaultColWidth="9.140625" defaultRowHeight="15" customHeight="1"/>
  <cols>
    <col min="1" max="1" width="5.8515625" style="29" customWidth="1"/>
    <col min="2" max="2" width="16.7109375" style="29" customWidth="1"/>
    <col min="3" max="3" width="10.28125" style="29" customWidth="1"/>
    <col min="4" max="7" width="9.140625" style="29" customWidth="1"/>
    <col min="8" max="8" width="7.8515625" style="29" customWidth="1"/>
    <col min="9" max="9" width="7.00390625" style="29" customWidth="1"/>
    <col min="10" max="10" width="9.00390625" style="29" customWidth="1"/>
    <col min="11" max="11" width="7.28125" style="29" customWidth="1"/>
    <col min="12" max="12" width="7.57421875" style="29" customWidth="1"/>
    <col min="13" max="13" width="9.140625" style="29" customWidth="1"/>
    <col min="14" max="14" width="6.8515625" style="29" customWidth="1"/>
    <col min="15" max="16384" width="9.140625" style="29" customWidth="1"/>
  </cols>
  <sheetData>
    <row r="1" spans="3:15" ht="15" customHeight="1">
      <c r="C1" s="30"/>
      <c r="E1" s="30"/>
      <c r="G1" s="30"/>
      <c r="N1" s="31"/>
      <c r="O1" s="31"/>
    </row>
    <row r="2" spans="1:15" ht="15" customHeight="1">
      <c r="A2" s="32"/>
      <c r="B2" s="33"/>
      <c r="C2" s="34"/>
      <c r="E2" s="35"/>
      <c r="F2" s="6" t="s">
        <v>102</v>
      </c>
      <c r="G2" s="6"/>
      <c r="H2" s="6"/>
      <c r="N2" s="31"/>
      <c r="O2" s="31"/>
    </row>
    <row r="3" spans="1:15" ht="15" customHeight="1">
      <c r="A3" s="32"/>
      <c r="B3" s="33" t="s">
        <v>49</v>
      </c>
      <c r="C3" s="34">
        <f>_TUE5</f>
        <v>1500</v>
      </c>
      <c r="D3" s="35"/>
      <c r="E3" s="35"/>
      <c r="F3" s="6" t="s">
        <v>114</v>
      </c>
      <c r="G3" s="6"/>
      <c r="H3" s="6"/>
      <c r="N3" s="31"/>
      <c r="O3" s="31"/>
    </row>
    <row r="4" spans="1:15" ht="15" customHeight="1">
      <c r="A4" s="32"/>
      <c r="B4" s="33" t="s">
        <v>51</v>
      </c>
      <c r="C4" s="34">
        <f>MIN(P:P)</f>
        <v>96</v>
      </c>
      <c r="D4" s="35"/>
      <c r="E4" s="35"/>
      <c r="N4" s="31"/>
      <c r="O4" s="31"/>
    </row>
    <row r="5" spans="1:15" ht="15" customHeight="1">
      <c r="A5" s="34" t="s">
        <v>52</v>
      </c>
      <c r="B5" s="34"/>
      <c r="C5" s="34"/>
      <c r="D5" s="35"/>
      <c r="E5" s="35"/>
      <c r="N5" s="31"/>
      <c r="O5" s="31"/>
    </row>
    <row r="6" spans="1:15" ht="15" customHeight="1">
      <c r="A6" s="36"/>
      <c r="N6" s="31"/>
      <c r="O6" s="31"/>
    </row>
    <row r="7" spans="1:17" ht="15.75" customHeight="1">
      <c r="A7" s="37" t="s">
        <v>53</v>
      </c>
      <c r="B7" s="38" t="s">
        <v>54</v>
      </c>
      <c r="C7" s="39" t="s">
        <v>55</v>
      </c>
      <c r="D7" s="38" t="s">
        <v>56</v>
      </c>
      <c r="E7" s="38" t="s">
        <v>57</v>
      </c>
      <c r="F7" s="38" t="s">
        <v>58</v>
      </c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9" t="s">
        <v>65</v>
      </c>
      <c r="N7" s="38" t="s">
        <v>66</v>
      </c>
      <c r="O7" s="38" t="s">
        <v>67</v>
      </c>
      <c r="P7" s="38" t="s">
        <v>68</v>
      </c>
      <c r="Q7" s="38" t="s">
        <v>69</v>
      </c>
    </row>
    <row r="8" spans="1:17" ht="15" customHeight="1">
      <c r="A8" s="67">
        <f>dane_TU!A2</f>
        <v>101</v>
      </c>
      <c r="B8" s="41" t="str">
        <f>dane_TU!B2</f>
        <v>Joanna Badowska
Wioletta Ziemnicka</v>
      </c>
      <c r="C8" s="41" t="str">
        <f>dane_TU!C2</f>
        <v>ZSP Białobrzegi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>
        <v>1</v>
      </c>
      <c r="P8" s="45" t="str">
        <f>IF(O8="",90*D9+60*E9+25*F9+15*G9+10*H9+10*I9+30*(J9+K9+L9)+M8+N8,"NKL")</f>
        <v>NKL</v>
      </c>
      <c r="Q8" s="46">
        <f>IF(P8&lt;&gt;"",IF(ISNUMBER(P8),MAX(1000*(($C$3+$C$4-P8)/$C$3),1),0))</f>
        <v>0</v>
      </c>
    </row>
    <row r="9" spans="1:17" ht="15" customHeight="1">
      <c r="A9" s="67"/>
      <c r="B9" s="41"/>
      <c r="C9" s="41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6"/>
    </row>
    <row r="10" spans="1:17" ht="15" customHeight="1">
      <c r="A10" s="67">
        <f>dane_TU!A3</f>
        <v>105</v>
      </c>
      <c r="B10" s="41" t="str">
        <f>dane_TU!B3</f>
        <v>Magda Maszewska
Jarosław Chodkowski</v>
      </c>
      <c r="C10" s="41" t="str">
        <f>dane_TU!C3</f>
        <v>Chrupki SKPB Trail Team</v>
      </c>
      <c r="D10" s="44"/>
      <c r="E10" s="44"/>
      <c r="F10" s="44">
        <v>11</v>
      </c>
      <c r="G10" s="44"/>
      <c r="H10" s="44"/>
      <c r="I10" s="44"/>
      <c r="J10" s="44"/>
      <c r="K10" s="44"/>
      <c r="L10" s="44"/>
      <c r="M10" s="44"/>
      <c r="N10" s="44">
        <v>11</v>
      </c>
      <c r="O10" s="44"/>
      <c r="P10" s="45">
        <f aca="true" t="shared" si="0" ref="P10">IF(O10="",90*D11+60*E11+25*F11+15*G11+10*H11+10*I11+30*(J11+K11+L11)+M10+N10,"NKL")</f>
        <v>96</v>
      </c>
      <c r="Q10" s="46">
        <f aca="true" t="shared" si="1" ref="Q10">IF(P10&lt;&gt;"",IF(ISNUMBER(P10),MAX(1000*(($C$3+$C$4-P10)/$C$3),1),0))</f>
        <v>1000</v>
      </c>
    </row>
    <row r="11" spans="1:17" ht="15" customHeight="1">
      <c r="A11" s="67"/>
      <c r="B11" s="41"/>
      <c r="C11" s="41"/>
      <c r="D11" s="44"/>
      <c r="E11" s="44"/>
      <c r="F11" s="44">
        <v>1</v>
      </c>
      <c r="G11" s="44"/>
      <c r="H11" s="44"/>
      <c r="I11" s="44"/>
      <c r="J11" s="44">
        <v>2</v>
      </c>
      <c r="K11" s="44"/>
      <c r="L11" s="44"/>
      <c r="M11" s="44"/>
      <c r="N11" s="44"/>
      <c r="O11" s="44"/>
      <c r="P11" s="45"/>
      <c r="Q11" s="46"/>
    </row>
    <row r="12" spans="1:17" ht="15.75" customHeight="1">
      <c r="A12" s="67">
        <f>dane_TU!A4</f>
        <v>106</v>
      </c>
      <c r="B12" s="41" t="str">
        <f>dane_TU!B4</f>
        <v>Michal Murgrabia
Krzysztof Chojnowski</v>
      </c>
      <c r="C12" s="41" t="str">
        <f>dane_TU!C4</f>
        <v>Bracia Koala
Skierniewice</v>
      </c>
      <c r="D12" s="44"/>
      <c r="E12" s="44"/>
      <c r="F12" s="44"/>
      <c r="G12" s="44"/>
      <c r="H12" s="44"/>
      <c r="I12" s="44">
        <v>8</v>
      </c>
      <c r="J12" s="44"/>
      <c r="K12" s="44"/>
      <c r="L12" s="44"/>
      <c r="M12" s="44"/>
      <c r="N12" s="44">
        <v>18</v>
      </c>
      <c r="O12" s="44"/>
      <c r="P12" s="45">
        <f aca="true" t="shared" si="2" ref="P12">IF(O12="",90*D13+60*E13+25*F13+15*G13+10*H13+10*I13+30*(J13+K13+L13)+M12+N12,"NKL")</f>
        <v>403</v>
      </c>
      <c r="Q12" s="46">
        <f aca="true" t="shared" si="3" ref="Q12">IF(P12&lt;&gt;"",IF(ISNUMBER(P12),MAX(1000*(($C$3+$C$4-P12)/$C$3),1),0))</f>
        <v>795.3333333333334</v>
      </c>
    </row>
    <row r="13" spans="1:17" ht="15" customHeight="1">
      <c r="A13" s="67"/>
      <c r="B13" s="41"/>
      <c r="C13" s="41"/>
      <c r="D13" s="44">
        <v>4</v>
      </c>
      <c r="E13" s="44"/>
      <c r="F13" s="44"/>
      <c r="G13" s="44">
        <v>1</v>
      </c>
      <c r="H13" s="44"/>
      <c r="I13" s="44">
        <v>1</v>
      </c>
      <c r="J13" s="44"/>
      <c r="K13" s="44"/>
      <c r="L13" s="44"/>
      <c r="M13" s="44"/>
      <c r="N13" s="44"/>
      <c r="O13" s="44"/>
      <c r="P13" s="45"/>
      <c r="Q13" s="46"/>
    </row>
    <row r="14" spans="1:17" ht="15" customHeight="1">
      <c r="A14" s="67">
        <f>dane_TU!A5</f>
        <v>107</v>
      </c>
      <c r="B14" s="41" t="str">
        <f>dane_TU!B5</f>
        <v>Zuzanna Żak
Luiza Rosłanowska
Urszula Piasecka</v>
      </c>
      <c r="C14" s="41" t="str">
        <f>dane_TU!C5</f>
        <v>PG 23 Radom</v>
      </c>
      <c r="D14" s="44"/>
      <c r="E14" s="44"/>
      <c r="F14" s="44">
        <v>7</v>
      </c>
      <c r="G14" s="44"/>
      <c r="H14" s="44"/>
      <c r="I14" s="44"/>
      <c r="J14" s="44"/>
      <c r="K14" s="44"/>
      <c r="L14" s="44"/>
      <c r="M14" s="44"/>
      <c r="N14" s="44"/>
      <c r="O14" s="44"/>
      <c r="P14" s="45">
        <f aca="true" t="shared" si="4" ref="P14">IF(O14="",90*D15+60*E15+25*F15+15*G15+10*H15+10*I15+30*(J15+K15+L15)+M14+N14,"NKL")</f>
        <v>835</v>
      </c>
      <c r="Q14" s="46">
        <f aca="true" t="shared" si="5" ref="Q14">IF(P14&lt;&gt;"",IF(ISNUMBER(P14),MAX(1000*(($C$3+$C$4-P14)/$C$3),1),0))</f>
        <v>507.3333333333333</v>
      </c>
    </row>
    <row r="15" spans="1:17" ht="15" customHeight="1">
      <c r="A15" s="67"/>
      <c r="B15" s="41"/>
      <c r="C15" s="41"/>
      <c r="D15" s="44">
        <v>9</v>
      </c>
      <c r="E15" s="44"/>
      <c r="F15" s="44">
        <v>1</v>
      </c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46"/>
    </row>
    <row r="16" spans="1:17" ht="15" customHeight="1">
      <c r="A16" s="67">
        <f>dane_TU!A6</f>
        <v>108</v>
      </c>
      <c r="B16" s="41" t="str">
        <f>dane_TU!B6</f>
        <v>Rafał Łyżwa
Kuba Kosterna</v>
      </c>
      <c r="C16" s="41" t="str">
        <f>dane_TU!C6</f>
        <v>PG 23 Radom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</v>
      </c>
      <c r="P16" s="45" t="str">
        <f aca="true" t="shared" si="6" ref="P16">IF(O16="",90*D17+60*E17+25*F17+15*G17+10*H17+10*I17+30*(J17+K17+L17)+M16+N16,"NKL")</f>
        <v>NKL</v>
      </c>
      <c r="Q16" s="46">
        <f aca="true" t="shared" si="7" ref="Q16">IF(P16&lt;&gt;"",IF(ISNUMBER(P16),MAX(1000*(($C$3+$C$4-P16)/$C$3),1),0))</f>
        <v>0</v>
      </c>
    </row>
    <row r="17" spans="1:17" ht="15" customHeight="1">
      <c r="A17" s="67"/>
      <c r="B17" s="41"/>
      <c r="C17" s="41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</row>
    <row r="18" spans="1:17" ht="15.75" customHeight="1">
      <c r="A18" s="67">
        <f>dane_TU!A7</f>
        <v>109</v>
      </c>
      <c r="B18" s="41" t="str">
        <f>dane_TU!B7</f>
        <v>Przybylski Andrzej
Kozakiewicz Ewa</v>
      </c>
      <c r="C18" s="41" t="str">
        <f>dane_TU!C7</f>
        <v>PG 23 Radom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1</v>
      </c>
      <c r="P18" s="45" t="str">
        <f aca="true" t="shared" si="8" ref="P18">IF(O18="",90*D19+60*E19+25*F19+15*G19+10*H19+10*I19+30*(J19+K19+L19)+M18+N18,"NKL")</f>
        <v>NKL</v>
      </c>
      <c r="Q18" s="46">
        <f aca="true" t="shared" si="9" ref="Q18">IF(P18&lt;&gt;"",IF(ISNUMBER(P18),MAX(1000*(($C$3+$C$4-P18)/$C$3),1),0))</f>
        <v>0</v>
      </c>
    </row>
    <row r="19" spans="1:17" ht="15" customHeight="1">
      <c r="A19" s="67"/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46"/>
    </row>
  </sheetData>
  <sheetProtection selectLockedCells="1" selectUnlockedCells="1"/>
  <mergeCells count="50">
    <mergeCell ref="F2:H2"/>
    <mergeCell ref="F3:H3"/>
    <mergeCell ref="A8:A9"/>
    <mergeCell ref="B8:B9"/>
    <mergeCell ref="C8:C9"/>
    <mergeCell ref="M8:M9"/>
    <mergeCell ref="N8:N9"/>
    <mergeCell ref="O8:O9"/>
    <mergeCell ref="P8:P9"/>
    <mergeCell ref="Q8:Q9"/>
    <mergeCell ref="A10:A11"/>
    <mergeCell ref="B10:B11"/>
    <mergeCell ref="C10:C11"/>
    <mergeCell ref="M10:M11"/>
    <mergeCell ref="N10:N11"/>
    <mergeCell ref="O10:O11"/>
    <mergeCell ref="P10:P11"/>
    <mergeCell ref="Q10:Q11"/>
    <mergeCell ref="A12:A13"/>
    <mergeCell ref="B12:B13"/>
    <mergeCell ref="C12:C13"/>
    <mergeCell ref="M12:M13"/>
    <mergeCell ref="N12:N13"/>
    <mergeCell ref="O12:O13"/>
    <mergeCell ref="P12:P13"/>
    <mergeCell ref="Q12:Q13"/>
    <mergeCell ref="A14:A15"/>
    <mergeCell ref="B14:B15"/>
    <mergeCell ref="C14:C15"/>
    <mergeCell ref="M14:M15"/>
    <mergeCell ref="N14:N15"/>
    <mergeCell ref="O14:O15"/>
    <mergeCell ref="P14:P15"/>
    <mergeCell ref="Q14:Q15"/>
    <mergeCell ref="A16:A17"/>
    <mergeCell ref="B16:B17"/>
    <mergeCell ref="C16:C17"/>
    <mergeCell ref="M16:M17"/>
    <mergeCell ref="N16:N17"/>
    <mergeCell ref="O16:O17"/>
    <mergeCell ref="P16:P17"/>
    <mergeCell ref="Q16:Q17"/>
    <mergeCell ref="A18:A19"/>
    <mergeCell ref="B18:B19"/>
    <mergeCell ref="C18:C19"/>
    <mergeCell ref="M18:M19"/>
    <mergeCell ref="N18:N19"/>
    <mergeCell ref="O18:O19"/>
    <mergeCell ref="P18:P19"/>
    <mergeCell ref="Q18:Q19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"/>
  <sheetViews>
    <sheetView zoomScale="80" zoomScaleNormal="80" workbookViewId="0" topLeftCell="A1">
      <selection activeCell="V18" sqref="V18"/>
    </sheetView>
  </sheetViews>
  <sheetFormatPr defaultColWidth="9.140625" defaultRowHeight="12.75" customHeight="1"/>
  <cols>
    <col min="1" max="1" width="3.00390625" style="0" customWidth="1"/>
    <col min="2" max="2" width="5.57421875" style="0" customWidth="1"/>
    <col min="3" max="3" width="17.28125" style="0" customWidth="1"/>
    <col min="4" max="4" width="17.140625" style="0" customWidth="1"/>
    <col min="5" max="5" width="5.00390625" style="0" customWidth="1"/>
    <col min="6" max="6" width="8.7109375" style="0" customWidth="1"/>
    <col min="7" max="7" width="5.57421875" style="0" customWidth="1"/>
    <col min="8" max="8" width="4.8515625" style="0" customWidth="1"/>
    <col min="9" max="9" width="8.7109375" style="0" customWidth="1"/>
    <col min="10" max="10" width="5.28125" style="0" customWidth="1"/>
    <col min="11" max="11" width="4.8515625" style="0" customWidth="1"/>
    <col min="12" max="12" width="8.7109375" style="0" customWidth="1"/>
    <col min="13" max="13" width="4.421875" style="0" customWidth="1"/>
    <col min="14" max="14" width="4.8515625" style="0" customWidth="1"/>
    <col min="15" max="15" width="9.140625" style="0" customWidth="1"/>
    <col min="16" max="16" width="4.28125" style="0" customWidth="1"/>
    <col min="17" max="17" width="5.8515625" style="0" customWidth="1"/>
    <col min="18" max="18" width="8.57421875" style="0" customWidth="1"/>
    <col min="19" max="19" width="4.00390625" style="0" customWidth="1"/>
    <col min="20" max="20" width="8.7109375" style="0" customWidth="1"/>
    <col min="21" max="21" width="6.7109375" style="0" customWidth="1"/>
    <col min="22" max="22" width="7.140625" style="0" customWidth="1"/>
    <col min="23" max="16384" width="8.7109375" style="0" customWidth="1"/>
  </cols>
  <sheetData>
    <row r="1" spans="1:22" ht="13.5" customHeight="1">
      <c r="A1" s="6" t="s">
        <v>115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4"/>
      <c r="U1" s="74"/>
      <c r="V1" s="58"/>
    </row>
    <row r="2" spans="1:22" ht="13.5" customHeight="1">
      <c r="A2" s="75" t="s">
        <v>37</v>
      </c>
      <c r="B2" s="76" t="s">
        <v>38</v>
      </c>
      <c r="C2" s="77" t="s">
        <v>39</v>
      </c>
      <c r="D2" s="77" t="s">
        <v>40</v>
      </c>
      <c r="E2" s="12" t="s">
        <v>41</v>
      </c>
      <c r="F2" s="12"/>
      <c r="G2" s="12"/>
      <c r="H2" s="12" t="s">
        <v>42</v>
      </c>
      <c r="I2" s="12"/>
      <c r="J2" s="12"/>
      <c r="K2" s="12" t="s">
        <v>97</v>
      </c>
      <c r="L2" s="12"/>
      <c r="M2" s="12"/>
      <c r="N2" s="12" t="s">
        <v>98</v>
      </c>
      <c r="O2" s="12"/>
      <c r="P2" s="12"/>
      <c r="Q2" s="12" t="s">
        <v>99</v>
      </c>
      <c r="R2" s="12"/>
      <c r="S2" s="12"/>
      <c r="T2" s="13" t="s">
        <v>100</v>
      </c>
      <c r="U2" s="13"/>
      <c r="V2" s="78" t="s">
        <v>101</v>
      </c>
    </row>
    <row r="3" spans="1:22" ht="48.75" customHeight="1">
      <c r="A3" s="75"/>
      <c r="B3" s="76"/>
      <c r="C3" s="77"/>
      <c r="D3" s="77"/>
      <c r="E3" s="75" t="s">
        <v>44</v>
      </c>
      <c r="F3" s="79" t="s">
        <v>45</v>
      </c>
      <c r="G3" s="75" t="s">
        <v>46</v>
      </c>
      <c r="H3" s="75" t="s">
        <v>44</v>
      </c>
      <c r="I3" s="79" t="s">
        <v>45</v>
      </c>
      <c r="J3" s="75" t="s">
        <v>46</v>
      </c>
      <c r="K3" s="75" t="s">
        <v>44</v>
      </c>
      <c r="L3" s="79" t="s">
        <v>45</v>
      </c>
      <c r="M3" s="75" t="s">
        <v>46</v>
      </c>
      <c r="N3" s="75" t="s">
        <v>44</v>
      </c>
      <c r="O3" s="79" t="s">
        <v>45</v>
      </c>
      <c r="P3" s="75" t="s">
        <v>46</v>
      </c>
      <c r="Q3" s="75" t="s">
        <v>44</v>
      </c>
      <c r="R3" s="79" t="s">
        <v>45</v>
      </c>
      <c r="S3" s="75" t="s">
        <v>46</v>
      </c>
      <c r="T3" s="79" t="s">
        <v>45</v>
      </c>
      <c r="U3" s="80" t="s">
        <v>46</v>
      </c>
      <c r="V3" s="78"/>
    </row>
    <row r="4" spans="1:22" ht="38.25" customHeight="1">
      <c r="A4" s="60">
        <f aca="true" t="shared" si="0" ref="A4:A12">U4</f>
        <v>1</v>
      </c>
      <c r="B4" s="81">
        <f>dane_TZ!A2</f>
        <v>200</v>
      </c>
      <c r="C4" s="61" t="str">
        <f>dane_TZ!B2</f>
        <v>Andrzej Krochmal
Tomasz Gronau</v>
      </c>
      <c r="D4" s="61" t="str">
        <f>dane_TZ!C2</f>
        <v>HKT "TREP" PTTK Warszawa Praga Płd.</v>
      </c>
      <c r="E4" s="62">
        <f>TZ_E1!P8</f>
        <v>18</v>
      </c>
      <c r="F4" s="63">
        <f aca="true" t="shared" si="1" ref="F4:F12">IF(E4&lt;&gt;"",IF(ISNUMBER(E4),MAX(1000/_TSE1*(_TSE1-E4+MIN(E$2:E$90)),1),0),"")</f>
        <v>1000</v>
      </c>
      <c r="G4" s="60">
        <f aca="true" t="shared" si="2" ref="G4:G12">IF(F4&lt;&gt;"",RANK(F4,F$2:F$90),"")</f>
        <v>1</v>
      </c>
      <c r="H4" s="62">
        <f>TZ_E2!P8</f>
        <v>50</v>
      </c>
      <c r="I4" s="63">
        <f aca="true" t="shared" si="3" ref="I4:I12">IF(H4&lt;&gt;"",IF(ISNUMBER(H4),MAX(1000/_TSE2*(_TSE2-H4+MIN(H$2:H$90)),1),0),"")</f>
        <v>981.060606060606</v>
      </c>
      <c r="J4" s="60">
        <f aca="true" t="shared" si="4" ref="J4:J12">IF(I4&lt;&gt;"",RANK(I4,I$2:I$90),"")</f>
        <v>2</v>
      </c>
      <c r="K4" s="62">
        <f>TZ_E3!P8</f>
        <v>68</v>
      </c>
      <c r="L4" s="63">
        <f aca="true" t="shared" si="5" ref="L4:L12">IF(K4&lt;&gt;"",IF(ISNUMBER(K4),MAX(1000/_TSE3*(_TSE3-K4+MIN(K$2:K$90)),1),0),"")</f>
        <v>1000</v>
      </c>
      <c r="M4" s="60">
        <f aca="true" t="shared" si="6" ref="M4:M12">IF(L4&lt;&gt;"",RANK(L4,L$2:L$90),"")</f>
        <v>1</v>
      </c>
      <c r="N4" s="62">
        <f>TZ_E4!P8</f>
        <v>12</v>
      </c>
      <c r="O4" s="63">
        <f aca="true" t="shared" si="7" ref="O4:O12">IF(N4&lt;&gt;"",IF(ISNUMBER(N4),MAX(1000/_TSE4*(_TSE4-N4+MIN(N$2:N$90)),1),0),"")</f>
        <v>1000</v>
      </c>
      <c r="P4" s="60">
        <f aca="true" t="shared" si="8" ref="P4:P12">IF(O4&lt;&gt;"",RANK(O4,O$2:O$90),"")</f>
        <v>1</v>
      </c>
      <c r="Q4" s="62">
        <f>TZ_E5!P8</f>
        <v>10</v>
      </c>
      <c r="R4" s="63">
        <f aca="true" t="shared" si="9" ref="R4:R12">IF(Q4&lt;&gt;"",IF(ISNUMBER(Q4),MAX(1000/_TSE5*(_TSE5-Q4+MIN(Q$2:Q$90)),1),0),"")</f>
        <v>993.3333333333333</v>
      </c>
      <c r="S4" s="60">
        <f aca="true" t="shared" si="10" ref="S4:S12">IF(R4&lt;&gt;"",RANK(R4,R$2:R$90),"")</f>
        <v>2</v>
      </c>
      <c r="T4" s="63">
        <f aca="true" t="shared" si="11" ref="T4:T12">SUM(F4,R4,I4,L4,O4)</f>
        <v>4974.393939393939</v>
      </c>
      <c r="U4" s="64">
        <f aca="true" t="shared" si="12" ref="U4:U12">IF(T4&lt;&gt;"",RANK(T4,T$2:T$90),"")</f>
        <v>1</v>
      </c>
      <c r="V4" s="65">
        <f>(T4*1000)/$T$4</f>
        <v>1000.0000000000001</v>
      </c>
    </row>
    <row r="5" spans="1:22" ht="28.5" customHeight="1">
      <c r="A5" s="60">
        <f t="shared" si="0"/>
        <v>2</v>
      </c>
      <c r="B5" s="81">
        <f>dane_TZ!A9</f>
        <v>208</v>
      </c>
      <c r="C5" s="61" t="str">
        <f>dane_TZ!B9</f>
        <v>Kazimierz Makieła</v>
      </c>
      <c r="D5" s="61" t="str">
        <f>dane_TZ!C9</f>
        <v>Warszawa</v>
      </c>
      <c r="E5" s="62">
        <f>TZ_E1!P22</f>
        <v>23</v>
      </c>
      <c r="F5" s="63">
        <f t="shared" si="1"/>
        <v>996.031746031746</v>
      </c>
      <c r="G5" s="60">
        <f t="shared" si="2"/>
        <v>3</v>
      </c>
      <c r="H5" s="62">
        <f>TZ_E2!P22</f>
        <v>53</v>
      </c>
      <c r="I5" s="63">
        <f t="shared" si="3"/>
        <v>978.7878787878788</v>
      </c>
      <c r="J5" s="60">
        <f t="shared" si="4"/>
        <v>5</v>
      </c>
      <c r="K5" s="62">
        <f>TZ_E3!P22</f>
        <v>100</v>
      </c>
      <c r="L5" s="63">
        <f t="shared" si="5"/>
        <v>972.6495726495726</v>
      </c>
      <c r="M5" s="60">
        <f t="shared" si="6"/>
        <v>4</v>
      </c>
      <c r="N5" s="62">
        <f>TZ_E4!P22</f>
        <v>27</v>
      </c>
      <c r="O5" s="63">
        <f t="shared" si="7"/>
        <v>988.0952380952381</v>
      </c>
      <c r="P5" s="60">
        <f t="shared" si="8"/>
        <v>3</v>
      </c>
      <c r="Q5" s="62">
        <f>TZ_E5!P22</f>
        <v>50</v>
      </c>
      <c r="R5" s="63">
        <f t="shared" si="9"/>
        <v>966.6666666666666</v>
      </c>
      <c r="S5" s="60">
        <f t="shared" si="10"/>
        <v>3</v>
      </c>
      <c r="T5" s="63">
        <f t="shared" si="11"/>
        <v>4902.231102231102</v>
      </c>
      <c r="U5" s="64">
        <f t="shared" si="12"/>
        <v>2</v>
      </c>
      <c r="V5" s="66">
        <f aca="true" t="shared" si="13" ref="V5:V12">(T5*1000)/$T$4</f>
        <v>985.49313985944</v>
      </c>
    </row>
    <row r="6" spans="1:22" ht="12.75" customHeight="1">
      <c r="A6" s="60">
        <f t="shared" si="0"/>
        <v>3</v>
      </c>
      <c r="B6" s="81">
        <f>dane_TZ!A4</f>
        <v>202</v>
      </c>
      <c r="C6" s="61" t="str">
        <f>dane_TZ!B4</f>
        <v>Otap Sławomir</v>
      </c>
      <c r="D6" s="61" t="str">
        <f>dane_TZ!C4</f>
        <v>Warszawa</v>
      </c>
      <c r="E6" s="62">
        <f>TZ_E1!P12</f>
        <v>18</v>
      </c>
      <c r="F6" s="63">
        <f t="shared" si="1"/>
        <v>1000</v>
      </c>
      <c r="G6" s="60">
        <f t="shared" si="2"/>
        <v>1</v>
      </c>
      <c r="H6" s="62">
        <f>TZ_E2!P12</f>
        <v>60</v>
      </c>
      <c r="I6" s="63">
        <f t="shared" si="3"/>
        <v>973.4848484848485</v>
      </c>
      <c r="J6" s="60">
        <f t="shared" si="4"/>
        <v>6</v>
      </c>
      <c r="K6" s="62">
        <f>TZ_E3!P12</f>
        <v>75</v>
      </c>
      <c r="L6" s="63">
        <f t="shared" si="5"/>
        <v>994.017094017094</v>
      </c>
      <c r="M6" s="60">
        <f t="shared" si="6"/>
        <v>2</v>
      </c>
      <c r="N6" s="62">
        <f>TZ_E4!P12</f>
        <v>42</v>
      </c>
      <c r="O6" s="63">
        <f t="shared" si="7"/>
        <v>976.1904761904761</v>
      </c>
      <c r="P6" s="60">
        <f t="shared" si="8"/>
        <v>6</v>
      </c>
      <c r="Q6" s="62">
        <f>TZ_E5!P12</f>
        <v>251</v>
      </c>
      <c r="R6" s="63">
        <f t="shared" si="9"/>
        <v>832.6666666666666</v>
      </c>
      <c r="S6" s="60">
        <f t="shared" si="10"/>
        <v>6</v>
      </c>
      <c r="T6" s="63">
        <f t="shared" si="11"/>
        <v>4776.359085359085</v>
      </c>
      <c r="U6" s="64">
        <f t="shared" si="12"/>
        <v>3</v>
      </c>
      <c r="V6" s="66">
        <f t="shared" si="13"/>
        <v>960.1891493822901</v>
      </c>
    </row>
    <row r="7" spans="1:22" ht="38.25" customHeight="1">
      <c r="A7" s="60">
        <f t="shared" si="0"/>
        <v>4</v>
      </c>
      <c r="B7" s="81">
        <f>dane_TZ!A3</f>
        <v>201</v>
      </c>
      <c r="C7" s="61" t="str">
        <f>dane_TZ!B3</f>
        <v>Joanna Puternicka
Wieszaczewski Jacek</v>
      </c>
      <c r="D7" s="61" t="str">
        <f>dane_TZ!C3</f>
        <v>Wrocław</v>
      </c>
      <c r="E7" s="62">
        <f>TZ_E1!P10</f>
        <v>160</v>
      </c>
      <c r="F7" s="63">
        <f t="shared" si="1"/>
        <v>887.3015873015872</v>
      </c>
      <c r="G7" s="60">
        <f t="shared" si="2"/>
        <v>8</v>
      </c>
      <c r="H7" s="62">
        <f>TZ_E2!P10</f>
        <v>79</v>
      </c>
      <c r="I7" s="63">
        <f t="shared" si="3"/>
        <v>959.0909090909091</v>
      </c>
      <c r="J7" s="60">
        <f t="shared" si="4"/>
        <v>8</v>
      </c>
      <c r="K7" s="62">
        <f>TZ_E3!P10</f>
        <v>139</v>
      </c>
      <c r="L7" s="63">
        <f t="shared" si="5"/>
        <v>939.3162393162393</v>
      </c>
      <c r="M7" s="60">
        <f t="shared" si="6"/>
        <v>6</v>
      </c>
      <c r="N7" s="62">
        <f>TZ_E4!P10</f>
        <v>27</v>
      </c>
      <c r="O7" s="63">
        <f t="shared" si="7"/>
        <v>988.0952380952381</v>
      </c>
      <c r="P7" s="60">
        <f t="shared" si="8"/>
        <v>3</v>
      </c>
      <c r="Q7" s="62">
        <f>TZ_E5!P10</f>
        <v>0</v>
      </c>
      <c r="R7" s="63">
        <f t="shared" si="9"/>
        <v>1000</v>
      </c>
      <c r="S7" s="60">
        <f t="shared" si="10"/>
        <v>1</v>
      </c>
      <c r="T7" s="63">
        <f t="shared" si="11"/>
        <v>4773.803973803973</v>
      </c>
      <c r="U7" s="64">
        <f t="shared" si="12"/>
        <v>4</v>
      </c>
      <c r="V7" s="66">
        <f t="shared" si="13"/>
        <v>959.6754965461372</v>
      </c>
    </row>
    <row r="8" spans="1:22" ht="25.5" customHeight="1">
      <c r="A8" s="60">
        <f t="shared" si="0"/>
        <v>5</v>
      </c>
      <c r="B8" s="81">
        <f>dane_TZ!A6</f>
        <v>204</v>
      </c>
      <c r="C8" s="61" t="str">
        <f>dane_TZ!B6</f>
        <v>Barbara Szmyt
Dariusz Walczyna</v>
      </c>
      <c r="D8" s="61" t="str">
        <f>dane_TZ!C6</f>
        <v>Stowarzysze Warszawa</v>
      </c>
      <c r="E8" s="62">
        <f>TZ_E1!P16</f>
        <v>157</v>
      </c>
      <c r="F8" s="63">
        <f t="shared" si="1"/>
        <v>889.6825396825396</v>
      </c>
      <c r="G8" s="60">
        <f t="shared" si="2"/>
        <v>7</v>
      </c>
      <c r="H8" s="62">
        <f>TZ_E2!P16</f>
        <v>50</v>
      </c>
      <c r="I8" s="63">
        <f t="shared" si="3"/>
        <v>981.060606060606</v>
      </c>
      <c r="J8" s="60">
        <f t="shared" si="4"/>
        <v>2</v>
      </c>
      <c r="K8" s="62">
        <f>TZ_E3!P16</f>
        <v>86</v>
      </c>
      <c r="L8" s="63">
        <f t="shared" si="5"/>
        <v>984.6153846153845</v>
      </c>
      <c r="M8" s="60">
        <f t="shared" si="6"/>
        <v>3</v>
      </c>
      <c r="N8" s="62">
        <f>TZ_E4!P16</f>
        <v>194</v>
      </c>
      <c r="O8" s="63">
        <f t="shared" si="7"/>
        <v>855.5555555555555</v>
      </c>
      <c r="P8" s="60">
        <f t="shared" si="8"/>
        <v>8</v>
      </c>
      <c r="Q8" s="62">
        <f>TZ_E5!P16</f>
        <v>213</v>
      </c>
      <c r="R8" s="63">
        <f t="shared" si="9"/>
        <v>858</v>
      </c>
      <c r="S8" s="60">
        <f t="shared" si="10"/>
        <v>4</v>
      </c>
      <c r="T8" s="63">
        <f t="shared" si="11"/>
        <v>4568.914085914086</v>
      </c>
      <c r="U8" s="64">
        <f t="shared" si="12"/>
        <v>5</v>
      </c>
      <c r="V8" s="66">
        <f t="shared" si="13"/>
        <v>918.4865817986955</v>
      </c>
    </row>
    <row r="9" spans="1:22" ht="25.5" customHeight="1">
      <c r="A9" s="60">
        <f t="shared" si="0"/>
        <v>6</v>
      </c>
      <c r="B9" s="81">
        <f>dane_TZ!A8</f>
        <v>206</v>
      </c>
      <c r="C9" s="61" t="str">
        <f>dane_TZ!B8</f>
        <v>Marcin Szajko
Adam Krochmal</v>
      </c>
      <c r="D9" s="61" t="str">
        <f>dane_TZ!C8</f>
        <v>Stowarzysze Warszawa</v>
      </c>
      <c r="E9" s="62">
        <f>TZ_E1!P20</f>
        <v>32</v>
      </c>
      <c r="F9" s="63">
        <f t="shared" si="1"/>
        <v>988.8888888888888</v>
      </c>
      <c r="G9" s="60">
        <f t="shared" si="2"/>
        <v>4</v>
      </c>
      <c r="H9" s="62">
        <f>TZ_E2!P20</f>
        <v>25</v>
      </c>
      <c r="I9" s="63">
        <f t="shared" si="3"/>
        <v>1000</v>
      </c>
      <c r="J9" s="60">
        <f t="shared" si="4"/>
        <v>1</v>
      </c>
      <c r="K9" s="62">
        <f>TZ_E3!P20</f>
        <v>128</v>
      </c>
      <c r="L9" s="63">
        <f t="shared" si="5"/>
        <v>948.7179487179487</v>
      </c>
      <c r="M9" s="60">
        <f t="shared" si="6"/>
        <v>5</v>
      </c>
      <c r="N9" s="62">
        <f>TZ_E4!P20</f>
        <v>22</v>
      </c>
      <c r="O9" s="63">
        <f t="shared" si="7"/>
        <v>992.063492063492</v>
      </c>
      <c r="P9" s="60">
        <f t="shared" si="8"/>
        <v>2</v>
      </c>
      <c r="Q9" s="62">
        <f>TZ_E5!P20</f>
        <v>544</v>
      </c>
      <c r="R9" s="63">
        <f t="shared" si="9"/>
        <v>637.3333333333333</v>
      </c>
      <c r="S9" s="60">
        <f t="shared" si="10"/>
        <v>8</v>
      </c>
      <c r="T9" s="63">
        <f t="shared" si="11"/>
        <v>4567.003663003663</v>
      </c>
      <c r="U9" s="64">
        <f t="shared" si="12"/>
        <v>6</v>
      </c>
      <c r="V9" s="66">
        <f t="shared" si="13"/>
        <v>918.1025304079734</v>
      </c>
    </row>
    <row r="10" spans="1:22" ht="25.5" customHeight="1">
      <c r="A10" s="60">
        <f t="shared" si="0"/>
        <v>7</v>
      </c>
      <c r="B10" s="81">
        <f>dane_TZ!A10</f>
        <v>209</v>
      </c>
      <c r="C10" s="61" t="str">
        <f>dane_TZ!B10</f>
        <v>Mateusz Sieńko
Frynas Sławomir</v>
      </c>
      <c r="D10" s="61" t="str">
        <f>dane_TZ!C10</f>
        <v>Lublin</v>
      </c>
      <c r="E10" s="62">
        <f>TZ_E1!P24</f>
        <v>39</v>
      </c>
      <c r="F10" s="63">
        <f t="shared" si="1"/>
        <v>983.3333333333333</v>
      </c>
      <c r="G10" s="60">
        <f t="shared" si="2"/>
        <v>5</v>
      </c>
      <c r="H10" s="62">
        <f>TZ_E2!P24</f>
        <v>50</v>
      </c>
      <c r="I10" s="63">
        <f t="shared" si="3"/>
        <v>981.060606060606</v>
      </c>
      <c r="J10" s="60">
        <f t="shared" si="4"/>
        <v>2</v>
      </c>
      <c r="K10" s="62">
        <f>TZ_E3!P24</f>
        <v>200</v>
      </c>
      <c r="L10" s="63">
        <f t="shared" si="5"/>
        <v>887.1794871794872</v>
      </c>
      <c r="M10" s="60">
        <f t="shared" si="6"/>
        <v>7</v>
      </c>
      <c r="N10" s="62">
        <f>TZ_E4!P24</f>
        <v>39</v>
      </c>
      <c r="O10" s="63">
        <f t="shared" si="7"/>
        <v>978.5714285714286</v>
      </c>
      <c r="P10" s="60">
        <f t="shared" si="8"/>
        <v>5</v>
      </c>
      <c r="Q10" s="62">
        <f>TZ_E5!P24</f>
        <v>486</v>
      </c>
      <c r="R10" s="63">
        <f t="shared" si="9"/>
        <v>676</v>
      </c>
      <c r="S10" s="60">
        <f t="shared" si="10"/>
        <v>7</v>
      </c>
      <c r="T10" s="63">
        <f t="shared" si="11"/>
        <v>4506.144855144855</v>
      </c>
      <c r="U10" s="64">
        <f t="shared" si="12"/>
        <v>7</v>
      </c>
      <c r="V10" s="66">
        <f t="shared" si="13"/>
        <v>905.86811379355</v>
      </c>
    </row>
    <row r="11" spans="1:22" ht="25.5" customHeight="1">
      <c r="A11" s="60">
        <f t="shared" si="0"/>
        <v>8</v>
      </c>
      <c r="B11" s="81">
        <f>dane_TZ!A5</f>
        <v>203</v>
      </c>
      <c r="C11" s="61" t="str">
        <f>dane_TZ!B5</f>
        <v>Mariusz Góraj
Robert Chruślak</v>
      </c>
      <c r="D11" s="61" t="str">
        <f>dane_TZ!C5</f>
        <v>Skróty Radom</v>
      </c>
      <c r="E11" s="62">
        <f>TZ_E1!P14</f>
        <v>51</v>
      </c>
      <c r="F11" s="63">
        <f t="shared" si="1"/>
        <v>973.8095238095237</v>
      </c>
      <c r="G11" s="60">
        <f t="shared" si="2"/>
        <v>6</v>
      </c>
      <c r="H11" s="62">
        <f>TZ_E2!P14</f>
        <v>60</v>
      </c>
      <c r="I11" s="63">
        <f t="shared" si="3"/>
        <v>973.4848484848485</v>
      </c>
      <c r="J11" s="60">
        <f t="shared" si="4"/>
        <v>6</v>
      </c>
      <c r="K11" s="62">
        <f>TZ_E3!P14</f>
        <v>325</v>
      </c>
      <c r="L11" s="63">
        <f t="shared" si="5"/>
        <v>780.3418803418803</v>
      </c>
      <c r="M11" s="60">
        <f t="shared" si="6"/>
        <v>8</v>
      </c>
      <c r="N11" s="62">
        <f>TZ_E4!P14</f>
        <v>150</v>
      </c>
      <c r="O11" s="63">
        <f t="shared" si="7"/>
        <v>890.4761904761905</v>
      </c>
      <c r="P11" s="60">
        <f t="shared" si="8"/>
        <v>7</v>
      </c>
      <c r="Q11" s="62">
        <f>TZ_E5!P14</f>
        <v>575</v>
      </c>
      <c r="R11" s="63">
        <f t="shared" si="9"/>
        <v>616.6666666666666</v>
      </c>
      <c r="S11" s="60">
        <f t="shared" si="10"/>
        <v>9</v>
      </c>
      <c r="T11" s="63">
        <f t="shared" si="11"/>
        <v>4234.77910977911</v>
      </c>
      <c r="U11" s="64">
        <f t="shared" si="12"/>
        <v>8</v>
      </c>
      <c r="V11" s="66">
        <f t="shared" si="13"/>
        <v>851.3155896726303</v>
      </c>
    </row>
    <row r="12" spans="1:22" ht="25.5" customHeight="1">
      <c r="A12" s="60">
        <f t="shared" si="0"/>
        <v>9</v>
      </c>
      <c r="B12" s="81">
        <f>dane_TZ!A7</f>
        <v>205</v>
      </c>
      <c r="C12" s="61" t="str">
        <f>dane_TZ!B7</f>
        <v>Anna Natuszewicz
Kamil Herman</v>
      </c>
      <c r="D12" s="61" t="str">
        <f>dane_TZ!C7</f>
        <v>Stowarzysze Warszawa</v>
      </c>
      <c r="E12" s="62">
        <f>TZ_E1!P18</f>
        <v>205</v>
      </c>
      <c r="F12" s="63">
        <f t="shared" si="1"/>
        <v>851.5873015873016</v>
      </c>
      <c r="G12" s="60">
        <f t="shared" si="2"/>
        <v>9</v>
      </c>
      <c r="H12" s="62">
        <f>TZ_E2!P18</f>
        <v>225</v>
      </c>
      <c r="I12" s="63">
        <f t="shared" si="3"/>
        <v>848.4848484848485</v>
      </c>
      <c r="J12" s="60">
        <f t="shared" si="4"/>
        <v>9</v>
      </c>
      <c r="K12" s="62">
        <f>TZ_E3!P18</f>
        <v>560</v>
      </c>
      <c r="L12" s="63">
        <f t="shared" si="5"/>
        <v>579.4871794871794</v>
      </c>
      <c r="M12" s="60">
        <f t="shared" si="6"/>
        <v>9</v>
      </c>
      <c r="N12" s="62">
        <f>TZ_E4!P18</f>
        <v>211</v>
      </c>
      <c r="O12" s="63">
        <f t="shared" si="7"/>
        <v>842.063492063492</v>
      </c>
      <c r="P12" s="60">
        <f t="shared" si="8"/>
        <v>9</v>
      </c>
      <c r="Q12" s="62">
        <f>TZ_E5!P18</f>
        <v>229</v>
      </c>
      <c r="R12" s="63">
        <f t="shared" si="9"/>
        <v>847.3333333333333</v>
      </c>
      <c r="S12" s="60">
        <f t="shared" si="10"/>
        <v>5</v>
      </c>
      <c r="T12" s="63">
        <f t="shared" si="11"/>
        <v>3968.956154956155</v>
      </c>
      <c r="U12" s="64">
        <f t="shared" si="12"/>
        <v>9</v>
      </c>
      <c r="V12" s="66">
        <f t="shared" si="13"/>
        <v>797.8773300450983</v>
      </c>
    </row>
  </sheetData>
  <sheetProtection selectLockedCells="1" selectUnlockedCells="1"/>
  <mergeCells count="12">
    <mergeCell ref="A1:S1"/>
    <mergeCell ref="A2:A3"/>
    <mergeCell ref="B2:B3"/>
    <mergeCell ref="C2:C3"/>
    <mergeCell ref="D2:D3"/>
    <mergeCell ref="E2:G2"/>
    <mergeCell ref="H2:J2"/>
    <mergeCell ref="K2:M2"/>
    <mergeCell ref="N2:P2"/>
    <mergeCell ref="Q2:S2"/>
    <mergeCell ref="T2:U2"/>
    <mergeCell ref="V2:V3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workbookViewId="0" topLeftCell="A1">
      <selection activeCell="E11" sqref="E11"/>
    </sheetView>
  </sheetViews>
  <sheetFormatPr defaultColWidth="13.7109375" defaultRowHeight="15" customHeight="1"/>
  <cols>
    <col min="1" max="1" width="6.57421875" style="29" customWidth="1"/>
    <col min="2" max="2" width="20.8515625" style="29" customWidth="1"/>
    <col min="3" max="3" width="22.8515625" style="29" customWidth="1"/>
    <col min="4" max="4" width="9.8515625" style="29" customWidth="1"/>
    <col min="5" max="5" width="8.421875" style="29" customWidth="1"/>
    <col min="6" max="6" width="10.00390625" style="29" customWidth="1"/>
    <col min="7" max="7" width="6.8515625" style="29" customWidth="1"/>
    <col min="8" max="8" width="9.140625" style="29" customWidth="1"/>
    <col min="9" max="9" width="8.140625" style="29" customWidth="1"/>
    <col min="10" max="10" width="8.7109375" style="29" customWidth="1"/>
    <col min="11" max="12" width="6.7109375" style="29" customWidth="1"/>
    <col min="13" max="13" width="8.8515625" style="29" customWidth="1"/>
    <col min="14" max="14" width="5.421875" style="29" customWidth="1"/>
    <col min="15" max="15" width="9.140625" style="29" customWidth="1"/>
    <col min="16" max="16" width="10.57421875" style="29" customWidth="1"/>
    <col min="17" max="17" width="10.421875" style="29" customWidth="1"/>
    <col min="18" max="16384" width="12.7109375" style="29" customWidth="1"/>
  </cols>
  <sheetData>
    <row r="1" spans="3:15" ht="15" customHeight="1">
      <c r="C1" s="30"/>
      <c r="E1" s="30"/>
      <c r="G1" s="30"/>
      <c r="N1" s="31"/>
      <c r="O1" s="31"/>
    </row>
    <row r="2" spans="1:15" ht="15" customHeight="1">
      <c r="A2" s="32"/>
      <c r="B2" s="33"/>
      <c r="C2" s="34"/>
      <c r="E2" s="35"/>
      <c r="F2" s="6" t="s">
        <v>116</v>
      </c>
      <c r="G2" s="6"/>
      <c r="H2" s="6"/>
      <c r="I2" s="6"/>
      <c r="N2" s="31"/>
      <c r="O2" s="31"/>
    </row>
    <row r="3" spans="1:15" ht="15" customHeight="1">
      <c r="A3" s="32"/>
      <c r="B3" s="33" t="s">
        <v>49</v>
      </c>
      <c r="C3" s="34">
        <f>_TSE1</f>
        <v>1260</v>
      </c>
      <c r="D3" s="35"/>
      <c r="E3" s="35"/>
      <c r="F3" s="74" t="s">
        <v>50</v>
      </c>
      <c r="G3" s="74"/>
      <c r="H3" s="74"/>
      <c r="I3" s="82"/>
      <c r="N3" s="31"/>
      <c r="O3" s="31"/>
    </row>
    <row r="4" spans="1:15" ht="15" customHeight="1">
      <c r="A4" s="32"/>
      <c r="B4" s="33" t="s">
        <v>51</v>
      </c>
      <c r="C4" s="34">
        <f>MIN(P:P)</f>
        <v>18</v>
      </c>
      <c r="D4" s="35"/>
      <c r="E4" s="35"/>
      <c r="N4" s="31"/>
      <c r="O4" s="31"/>
    </row>
    <row r="5" spans="1:15" ht="15" customHeight="1">
      <c r="A5" s="34" t="s">
        <v>52</v>
      </c>
      <c r="B5" s="34"/>
      <c r="C5" s="34"/>
      <c r="D5" s="35"/>
      <c r="E5" s="35"/>
      <c r="N5" s="31"/>
      <c r="O5" s="31"/>
    </row>
    <row r="6" spans="1:15" ht="15" customHeight="1">
      <c r="A6" s="36"/>
      <c r="N6" s="31"/>
      <c r="O6" s="31"/>
    </row>
    <row r="7" spans="1:17" ht="15.75" customHeight="1">
      <c r="A7" s="37" t="s">
        <v>117</v>
      </c>
      <c r="B7" s="38" t="s">
        <v>54</v>
      </c>
      <c r="C7" s="39" t="s">
        <v>55</v>
      </c>
      <c r="D7" s="38" t="s">
        <v>56</v>
      </c>
      <c r="E7" s="38" t="s">
        <v>57</v>
      </c>
      <c r="F7" s="38" t="s">
        <v>58</v>
      </c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9" t="s">
        <v>65</v>
      </c>
      <c r="N7" s="38" t="s">
        <v>66</v>
      </c>
      <c r="O7" s="38" t="s">
        <v>67</v>
      </c>
      <c r="P7" s="38" t="s">
        <v>68</v>
      </c>
      <c r="Q7" s="38" t="s">
        <v>69</v>
      </c>
    </row>
    <row r="8" spans="1:17" ht="14.25" customHeight="1">
      <c r="A8" s="40">
        <f>dane_TZ!A2</f>
        <v>200</v>
      </c>
      <c r="B8" s="83" t="str">
        <f>dane_TZ!B2</f>
        <v>Andrzej Krochmal
Tomasz Gronau</v>
      </c>
      <c r="C8" s="83" t="str">
        <f>dane_TZ!C2</f>
        <v>HKT "TREP" PTTK Warszawa Praga Płd.</v>
      </c>
      <c r="D8" s="44"/>
      <c r="E8" s="44"/>
      <c r="F8" s="44"/>
      <c r="G8" s="44"/>
      <c r="H8" s="44"/>
      <c r="I8" s="44"/>
      <c r="J8" s="44"/>
      <c r="K8" s="44"/>
      <c r="L8" s="44"/>
      <c r="M8" s="44">
        <v>10</v>
      </c>
      <c r="N8" s="44">
        <v>8</v>
      </c>
      <c r="O8" s="44"/>
      <c r="P8" s="45">
        <f>IF(O8="",90*D9+60*E9+25*F9+15*G9+10*H9+10*I9+30*(J9+K9+L9)+M8+N8,"NKL")</f>
        <v>18</v>
      </c>
      <c r="Q8" s="46">
        <f>IF(P8&lt;&gt;"",IF(ISNUMBER(P8),MAX(1000*(($C$3+$C$4-P8)/$C$3),1),0))</f>
        <v>1000</v>
      </c>
    </row>
    <row r="9" spans="1:17" ht="14.25" customHeight="1">
      <c r="A9" s="40"/>
      <c r="B9" s="83"/>
      <c r="C9" s="8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6"/>
    </row>
    <row r="10" spans="1:17" ht="14.25" customHeight="1">
      <c r="A10" s="84">
        <f>dane_TZ!A3</f>
        <v>201</v>
      </c>
      <c r="B10" s="85" t="str">
        <f>dane_TZ!B3</f>
        <v>Joanna Puternicka
Wieszaczewski Jacek</v>
      </c>
      <c r="C10" s="85" t="str">
        <f>dane_TZ!C3</f>
        <v>Wrocław</v>
      </c>
      <c r="D10" s="69">
        <v>1</v>
      </c>
      <c r="E10" s="69"/>
      <c r="F10" s="69" t="s">
        <v>118</v>
      </c>
      <c r="G10" s="69"/>
      <c r="H10" s="69"/>
      <c r="I10" s="69">
        <v>7</v>
      </c>
      <c r="J10" s="69"/>
      <c r="K10" s="69"/>
      <c r="L10" s="69"/>
      <c r="M10" s="50">
        <v>10</v>
      </c>
      <c r="N10" s="50"/>
      <c r="O10" s="50"/>
      <c r="P10" s="51">
        <f aca="true" t="shared" si="0" ref="P10">IF(O10="",90*D11+60*E11+25*F11+15*G11+10*H11+10*I11+30*(J11+K11+L11)+M10+N10,"NKL")</f>
        <v>160</v>
      </c>
      <c r="Q10" s="52">
        <f aca="true" t="shared" si="1" ref="Q10">IF(P10&lt;&gt;"",IF(ISNUMBER(P10),MAX(1000*(($C$3+$C$4-P10)/$C$3),1),0))</f>
        <v>887.3015873015872</v>
      </c>
    </row>
    <row r="11" spans="1:17" ht="14.25" customHeight="1">
      <c r="A11" s="84"/>
      <c r="B11" s="85"/>
      <c r="C11" s="85"/>
      <c r="D11" s="70">
        <v>1</v>
      </c>
      <c r="E11" s="70"/>
      <c r="F11" s="70">
        <v>2</v>
      </c>
      <c r="G11" s="70"/>
      <c r="H11" s="70"/>
      <c r="I11" s="70">
        <v>1</v>
      </c>
      <c r="J11" s="70"/>
      <c r="K11" s="70"/>
      <c r="L11" s="70"/>
      <c r="M11" s="50"/>
      <c r="N11" s="50"/>
      <c r="O11" s="50"/>
      <c r="P11" s="51"/>
      <c r="Q11" s="52"/>
    </row>
    <row r="12" spans="1:17" ht="14.25" customHeight="1">
      <c r="A12" s="40">
        <f>dane_TZ!A4</f>
        <v>202</v>
      </c>
      <c r="B12" s="83" t="str">
        <f>dane_TZ!B4</f>
        <v>Otap Sławomir</v>
      </c>
      <c r="C12" s="83" t="str">
        <f>dane_TZ!C4</f>
        <v>Warszawa</v>
      </c>
      <c r="D12" s="44"/>
      <c r="E12" s="44"/>
      <c r="F12" s="44"/>
      <c r="G12" s="44"/>
      <c r="H12" s="44"/>
      <c r="I12" s="44"/>
      <c r="J12" s="44"/>
      <c r="K12" s="44"/>
      <c r="L12" s="44"/>
      <c r="M12" s="44">
        <v>10</v>
      </c>
      <c r="N12" s="44">
        <v>8</v>
      </c>
      <c r="O12" s="44"/>
      <c r="P12" s="45">
        <f aca="true" t="shared" si="2" ref="P12">IF(O12="",90*D13+60*E13+25*F13+15*G13+10*H13+10*I13+30*(J13+K13+L13)+M12+N12,"NKL")</f>
        <v>18</v>
      </c>
      <c r="Q12" s="46">
        <f aca="true" t="shared" si="3" ref="Q12">IF(P12&lt;&gt;"",IF(ISNUMBER(P12),MAX(1000*(($C$3+$C$4-P12)/$C$3),1),0))</f>
        <v>1000</v>
      </c>
    </row>
    <row r="13" spans="1:17" ht="14.25" customHeight="1">
      <c r="A13" s="40"/>
      <c r="B13" s="83"/>
      <c r="C13" s="8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46"/>
    </row>
    <row r="14" spans="1:17" ht="14.25" customHeight="1">
      <c r="A14" s="84">
        <f>dane_TZ!A5</f>
        <v>203</v>
      </c>
      <c r="B14" s="85" t="str">
        <f>dane_TZ!B5</f>
        <v>Mariusz Góraj
Robert Chruślak</v>
      </c>
      <c r="C14" s="85" t="str">
        <f>dane_TZ!C5</f>
        <v>Skróty Radom</v>
      </c>
      <c r="D14" s="69"/>
      <c r="E14" s="69"/>
      <c r="F14" s="69" t="s">
        <v>119</v>
      </c>
      <c r="G14" s="69"/>
      <c r="H14" s="69"/>
      <c r="I14" s="69"/>
      <c r="J14" s="69"/>
      <c r="K14" s="69"/>
      <c r="L14" s="69"/>
      <c r="M14" s="50">
        <v>4</v>
      </c>
      <c r="N14" s="50">
        <v>22</v>
      </c>
      <c r="O14" s="50"/>
      <c r="P14" s="51">
        <f aca="true" t="shared" si="4" ref="P14">IF(O14="",90*D15+60*E15+25*F15+15*G15+10*H15+10*I15+30*(J15+K15+L15)+M14+N14,"NKL")</f>
        <v>51</v>
      </c>
      <c r="Q14" s="52">
        <f aca="true" t="shared" si="5" ref="Q14">IF(P14&lt;&gt;"",IF(ISNUMBER(P14),MAX(1000*(($C$3+$C$4-P14)/$C$3),1),0))</f>
        <v>973.8095238095237</v>
      </c>
    </row>
    <row r="15" spans="1:17" ht="14.25" customHeight="1">
      <c r="A15" s="84"/>
      <c r="B15" s="85"/>
      <c r="C15" s="85"/>
      <c r="D15" s="70"/>
      <c r="E15" s="70"/>
      <c r="F15" s="70">
        <v>1</v>
      </c>
      <c r="G15" s="70"/>
      <c r="H15" s="70"/>
      <c r="I15" s="70"/>
      <c r="J15" s="70"/>
      <c r="K15" s="70"/>
      <c r="L15" s="70"/>
      <c r="M15" s="50"/>
      <c r="N15" s="50"/>
      <c r="O15" s="50"/>
      <c r="P15" s="51"/>
      <c r="Q15" s="52"/>
    </row>
    <row r="16" spans="1:17" ht="15.75" customHeight="1">
      <c r="A16" s="40">
        <f>dane_TZ!A6</f>
        <v>204</v>
      </c>
      <c r="B16" s="83" t="str">
        <f>dane_TZ!B6</f>
        <v>Barbara Szmyt
Dariusz Walczyna</v>
      </c>
      <c r="C16" s="83" t="str">
        <f>dane_TZ!C6</f>
        <v>Stowarzysze Warszawa</v>
      </c>
      <c r="D16" s="44" t="s">
        <v>119</v>
      </c>
      <c r="E16" s="44"/>
      <c r="F16" s="44" t="s">
        <v>120</v>
      </c>
      <c r="G16" s="44"/>
      <c r="H16" s="44">
        <v>7</v>
      </c>
      <c r="I16" s="44"/>
      <c r="J16" s="44"/>
      <c r="K16" s="44"/>
      <c r="L16" s="44"/>
      <c r="M16" s="44">
        <v>4</v>
      </c>
      <c r="N16" s="44">
        <v>3</v>
      </c>
      <c r="O16" s="44"/>
      <c r="P16" s="45">
        <f aca="true" t="shared" si="6" ref="P16">IF(O16="",90*D17+60*E17+25*F17+15*G17+10*H17+10*I17+30*(J17+K17+L17)+M16+N16,"NKL")</f>
        <v>157</v>
      </c>
      <c r="Q16" s="46">
        <f aca="true" t="shared" si="7" ref="Q16">IF(P16&lt;&gt;"",IF(ISNUMBER(P16),MAX(1000*(($C$3+$C$4-P16)/$C$3),1),0))</f>
        <v>889.6825396825396</v>
      </c>
    </row>
    <row r="17" spans="1:17" ht="15.75" customHeight="1">
      <c r="A17" s="40"/>
      <c r="B17" s="83"/>
      <c r="C17" s="83"/>
      <c r="D17" s="44">
        <v>1</v>
      </c>
      <c r="E17" s="44"/>
      <c r="F17" s="44">
        <v>2</v>
      </c>
      <c r="G17" s="44"/>
      <c r="H17" s="44">
        <v>1</v>
      </c>
      <c r="I17" s="44"/>
      <c r="J17" s="44"/>
      <c r="K17" s="44"/>
      <c r="L17" s="44"/>
      <c r="M17" s="44"/>
      <c r="N17" s="44"/>
      <c r="O17" s="44"/>
      <c r="P17" s="45"/>
      <c r="Q17" s="46"/>
    </row>
    <row r="18" spans="1:17" ht="15.75" customHeight="1">
      <c r="A18" s="84">
        <f>dane_TZ!A7</f>
        <v>205</v>
      </c>
      <c r="B18" s="85" t="str">
        <f>dane_TZ!B7</f>
        <v>Anna Natuszewicz
Kamil Herman</v>
      </c>
      <c r="C18" s="85" t="str">
        <f>dane_TZ!C7</f>
        <v>Stowarzysze Warszawa</v>
      </c>
      <c r="D18" s="69">
        <v>4.5</v>
      </c>
      <c r="E18" s="69"/>
      <c r="F18" s="69"/>
      <c r="G18" s="69"/>
      <c r="H18" s="69"/>
      <c r="I18" s="69"/>
      <c r="J18" s="69"/>
      <c r="K18" s="69"/>
      <c r="L18" s="69"/>
      <c r="M18" s="50">
        <v>8</v>
      </c>
      <c r="N18" s="50">
        <v>17</v>
      </c>
      <c r="O18" s="50"/>
      <c r="P18" s="51">
        <f aca="true" t="shared" si="8" ref="P18">IF(O18="",90*D19+60*E19+25*F19+15*G19+10*H19+10*I19+30*(J19+K19+L19)+M18+N18,"NKL")</f>
        <v>205</v>
      </c>
      <c r="Q18" s="52">
        <f aca="true" t="shared" si="9" ref="Q18">IF(P18&lt;&gt;"",IF(ISNUMBER(P18),MAX(1000*(($C$3+$C$4-P18)/$C$3),1),0))</f>
        <v>851.5873015873016</v>
      </c>
    </row>
    <row r="19" spans="1:17" ht="15.75" customHeight="1">
      <c r="A19" s="84"/>
      <c r="B19" s="85"/>
      <c r="C19" s="85"/>
      <c r="D19" s="70">
        <v>2</v>
      </c>
      <c r="E19" s="70"/>
      <c r="F19" s="70"/>
      <c r="G19" s="70"/>
      <c r="H19" s="70"/>
      <c r="I19" s="70"/>
      <c r="J19" s="70"/>
      <c r="K19" s="70"/>
      <c r="L19" s="70"/>
      <c r="M19" s="50"/>
      <c r="N19" s="50"/>
      <c r="O19" s="50"/>
      <c r="P19" s="51"/>
      <c r="Q19" s="52"/>
    </row>
    <row r="20" spans="1:17" ht="15.75" customHeight="1">
      <c r="A20" s="40">
        <f>dane_TZ!A8</f>
        <v>206</v>
      </c>
      <c r="B20" s="83" t="str">
        <f>dane_TZ!B8</f>
        <v>Marcin Szajko
Adam Krochmal</v>
      </c>
      <c r="C20" s="83" t="str">
        <f>dane_TZ!C8</f>
        <v>Stowarzysze Warszawa</v>
      </c>
      <c r="D20" s="44"/>
      <c r="E20" s="44"/>
      <c r="F20" s="44" t="s">
        <v>91</v>
      </c>
      <c r="G20" s="44"/>
      <c r="H20" s="44"/>
      <c r="I20" s="44"/>
      <c r="J20" s="44"/>
      <c r="K20" s="44"/>
      <c r="L20" s="44"/>
      <c r="M20" s="44">
        <v>7</v>
      </c>
      <c r="N20" s="44">
        <v>0</v>
      </c>
      <c r="O20" s="44"/>
      <c r="P20" s="45">
        <f aca="true" t="shared" si="10" ref="P20">IF(O20="",90*D21+60*E21+25*F21+15*G21+10*H21+10*I21+30*(J21+K21+L21)+M20+N20,"NKL")</f>
        <v>32</v>
      </c>
      <c r="Q20" s="46">
        <f aca="true" t="shared" si="11" ref="Q20">IF(P20&lt;&gt;"",IF(ISNUMBER(P20),MAX(1000*(($C$3+$C$4-P20)/$C$3),1),0))</f>
        <v>988.8888888888889</v>
      </c>
    </row>
    <row r="21" spans="1:17" ht="15.75" customHeight="1">
      <c r="A21" s="40"/>
      <c r="B21" s="83"/>
      <c r="C21" s="83"/>
      <c r="D21" s="44"/>
      <c r="E21" s="44"/>
      <c r="F21" s="44">
        <v>1</v>
      </c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6"/>
    </row>
    <row r="22" spans="1:17" ht="15" customHeight="1">
      <c r="A22" s="84">
        <f>dane_TZ!A9</f>
        <v>208</v>
      </c>
      <c r="B22" s="85" t="str">
        <f>dane_TZ!B9</f>
        <v>Kazimierz Makieła</v>
      </c>
      <c r="C22" s="85" t="str">
        <f>dane_TZ!C9</f>
        <v>Warszawa</v>
      </c>
      <c r="D22" s="69"/>
      <c r="E22" s="69"/>
      <c r="F22" s="69"/>
      <c r="G22" s="69"/>
      <c r="H22" s="69"/>
      <c r="I22" s="69"/>
      <c r="J22" s="69"/>
      <c r="K22" s="69"/>
      <c r="L22" s="69"/>
      <c r="M22" s="50">
        <v>10</v>
      </c>
      <c r="N22" s="50">
        <v>13</v>
      </c>
      <c r="O22" s="50"/>
      <c r="P22" s="51">
        <f aca="true" t="shared" si="12" ref="P22">IF(O22="",90*D23+60*E23+25*F23+15*G23+10*H23+10*I23+30*(J23+K23+L23)+M22+N22,"NKL")</f>
        <v>23</v>
      </c>
      <c r="Q22" s="52">
        <f aca="true" t="shared" si="13" ref="Q22">IF(P22&lt;&gt;"",IF(ISNUMBER(P22),MAX(1000*(($C$3+$C$4-P22)/$C$3),1),0))</f>
        <v>996.031746031746</v>
      </c>
    </row>
    <row r="23" spans="1:17" ht="15.75" customHeight="1">
      <c r="A23" s="84"/>
      <c r="B23" s="85"/>
      <c r="C23" s="85"/>
      <c r="D23" s="70"/>
      <c r="E23" s="70"/>
      <c r="F23" s="70"/>
      <c r="G23" s="70"/>
      <c r="H23" s="70"/>
      <c r="I23" s="70"/>
      <c r="J23" s="70"/>
      <c r="K23" s="70"/>
      <c r="L23" s="70"/>
      <c r="M23" s="50"/>
      <c r="N23" s="50"/>
      <c r="O23" s="50"/>
      <c r="P23" s="51"/>
      <c r="Q23" s="52"/>
    </row>
    <row r="24" spans="1:17" ht="27.75" customHeight="1">
      <c r="A24" s="40">
        <f>dane_TZ!A10</f>
        <v>209</v>
      </c>
      <c r="B24" s="83" t="str">
        <f>dane_TZ!B10</f>
        <v>Mateusz Sieńko
Frynas Sławomir</v>
      </c>
      <c r="C24" s="83" t="str">
        <f>dane_TZ!C10</f>
        <v>Lublin</v>
      </c>
      <c r="D24" s="44"/>
      <c r="E24" s="44"/>
      <c r="F24" s="44"/>
      <c r="G24" s="44"/>
      <c r="H24" s="44"/>
      <c r="I24" s="44"/>
      <c r="J24" s="44"/>
      <c r="K24" s="44"/>
      <c r="L24" s="44"/>
      <c r="M24" s="44">
        <v>10</v>
      </c>
      <c r="N24" s="44">
        <v>29</v>
      </c>
      <c r="O24" s="44"/>
      <c r="P24" s="45">
        <f aca="true" t="shared" si="14" ref="P24">IF(O24="",90*D25+60*E25+25*F25+15*G25+10*H25+10*I25+30*(J25+K25+L25)+M24+N24,"NKL")</f>
        <v>39</v>
      </c>
      <c r="Q24" s="46">
        <f aca="true" t="shared" si="15" ref="Q24">IF(P24&lt;&gt;"",IF(ISNUMBER(P24),MAX(1000*(($C$3+$C$4-P24)/$C$3),1),0))</f>
        <v>983.3333333333333</v>
      </c>
    </row>
    <row r="25" spans="1:17" ht="15.75" customHeight="1">
      <c r="A25" s="40"/>
      <c r="B25" s="83"/>
      <c r="C25" s="8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46"/>
    </row>
  </sheetData>
  <sheetProtection selectLockedCells="1" selectUnlockedCells="1"/>
  <mergeCells count="73">
    <mergeCell ref="F2:I2"/>
    <mergeCell ref="A8:A9"/>
    <mergeCell ref="B8:B9"/>
    <mergeCell ref="C8:C9"/>
    <mergeCell ref="M8:M9"/>
    <mergeCell ref="N8:N9"/>
    <mergeCell ref="O8:O9"/>
    <mergeCell ref="P8:P9"/>
    <mergeCell ref="Q8:Q9"/>
    <mergeCell ref="A10:A11"/>
    <mergeCell ref="B10:B11"/>
    <mergeCell ref="C10:C11"/>
    <mergeCell ref="M10:M11"/>
    <mergeCell ref="N10:N11"/>
    <mergeCell ref="O10:O11"/>
    <mergeCell ref="P10:P11"/>
    <mergeCell ref="Q10:Q11"/>
    <mergeCell ref="A12:A13"/>
    <mergeCell ref="B12:B13"/>
    <mergeCell ref="C12:C13"/>
    <mergeCell ref="M12:M13"/>
    <mergeCell ref="N12:N13"/>
    <mergeCell ref="O12:O13"/>
    <mergeCell ref="P12:P13"/>
    <mergeCell ref="Q12:Q13"/>
    <mergeCell ref="A14:A15"/>
    <mergeCell ref="B14:B15"/>
    <mergeCell ref="C14:C15"/>
    <mergeCell ref="M14:M15"/>
    <mergeCell ref="N14:N15"/>
    <mergeCell ref="O14:O15"/>
    <mergeCell ref="P14:P15"/>
    <mergeCell ref="Q14:Q15"/>
    <mergeCell ref="A16:A17"/>
    <mergeCell ref="B16:B17"/>
    <mergeCell ref="C16:C17"/>
    <mergeCell ref="M16:M17"/>
    <mergeCell ref="N16:N17"/>
    <mergeCell ref="O16:O17"/>
    <mergeCell ref="P16:P17"/>
    <mergeCell ref="Q16:Q17"/>
    <mergeCell ref="A18:A19"/>
    <mergeCell ref="B18:B19"/>
    <mergeCell ref="C18:C19"/>
    <mergeCell ref="M18:M19"/>
    <mergeCell ref="N18:N19"/>
    <mergeCell ref="O18:O19"/>
    <mergeCell ref="P18:P19"/>
    <mergeCell ref="Q18:Q19"/>
    <mergeCell ref="A20:A21"/>
    <mergeCell ref="B20:B21"/>
    <mergeCell ref="C20:C21"/>
    <mergeCell ref="M20:M21"/>
    <mergeCell ref="N20:N21"/>
    <mergeCell ref="O20:O21"/>
    <mergeCell ref="P20:P21"/>
    <mergeCell ref="Q20:Q21"/>
    <mergeCell ref="A22:A23"/>
    <mergeCell ref="B22:B23"/>
    <mergeCell ref="C22:C23"/>
    <mergeCell ref="M22:M23"/>
    <mergeCell ref="N22:N23"/>
    <mergeCell ref="O22:O23"/>
    <mergeCell ref="P22:P23"/>
    <mergeCell ref="Q22:Q23"/>
    <mergeCell ref="A24:A25"/>
    <mergeCell ref="B24:B25"/>
    <mergeCell ref="C24:C25"/>
    <mergeCell ref="M24:M25"/>
    <mergeCell ref="N24:N25"/>
    <mergeCell ref="O24:O25"/>
    <mergeCell ref="P24:P25"/>
    <mergeCell ref="Q24:Q25"/>
  </mergeCells>
  <printOptions/>
  <pageMargins left="0.25" right="0.25" top="0.75" bottom="0.75" header="0.5118055555555555" footer="0.5118055555555555"/>
  <pageSetup horizontalDpi="300" verticalDpi="300" orientation="landscape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workbookViewId="0" topLeftCell="A1">
      <selection activeCell="D10" sqref="D10"/>
    </sheetView>
  </sheetViews>
  <sheetFormatPr defaultColWidth="13.7109375" defaultRowHeight="15" customHeight="1"/>
  <cols>
    <col min="1" max="1" width="5.8515625" style="29" customWidth="1"/>
    <col min="2" max="2" width="21.00390625" style="29" customWidth="1"/>
    <col min="3" max="3" width="16.421875" style="29" customWidth="1"/>
    <col min="4" max="4" width="9.00390625" style="29" customWidth="1"/>
    <col min="5" max="5" width="8.140625" style="29" customWidth="1"/>
    <col min="6" max="6" width="10.00390625" style="29" customWidth="1"/>
    <col min="7" max="7" width="6.8515625" style="29" customWidth="1"/>
    <col min="8" max="8" width="9.140625" style="29" customWidth="1"/>
    <col min="9" max="9" width="9.421875" style="29" customWidth="1"/>
    <col min="10" max="10" width="10.28125" style="29" customWidth="1"/>
    <col min="11" max="11" width="6.7109375" style="29" customWidth="1"/>
    <col min="12" max="13" width="8.8515625" style="29" customWidth="1"/>
    <col min="14" max="14" width="5.421875" style="29" customWidth="1"/>
    <col min="15" max="15" width="9.140625" style="29" customWidth="1"/>
    <col min="16" max="16" width="10.57421875" style="29" customWidth="1"/>
    <col min="17" max="17" width="11.140625" style="29" customWidth="1"/>
    <col min="18" max="16384" width="12.7109375" style="29" customWidth="1"/>
  </cols>
  <sheetData>
    <row r="1" spans="3:15" ht="15" customHeight="1">
      <c r="C1" s="30"/>
      <c r="E1" s="30"/>
      <c r="G1" s="30"/>
      <c r="N1" s="31"/>
      <c r="O1" s="31"/>
    </row>
    <row r="2" spans="1:15" ht="15" customHeight="1">
      <c r="A2" s="32"/>
      <c r="B2" s="33"/>
      <c r="C2" s="34"/>
      <c r="E2" s="35"/>
      <c r="F2" s="6" t="s">
        <v>116</v>
      </c>
      <c r="G2" s="6"/>
      <c r="H2" s="6"/>
      <c r="I2" s="6"/>
      <c r="N2" s="31"/>
      <c r="O2" s="31"/>
    </row>
    <row r="3" spans="1:15" ht="15" customHeight="1">
      <c r="A3" s="32"/>
      <c r="B3" s="33" t="s">
        <v>49</v>
      </c>
      <c r="C3" s="34">
        <f>_TSE2</f>
        <v>1320</v>
      </c>
      <c r="D3" s="35"/>
      <c r="E3" s="35"/>
      <c r="F3" s="74" t="s">
        <v>85</v>
      </c>
      <c r="G3" s="74"/>
      <c r="H3" s="74"/>
      <c r="I3" s="82"/>
      <c r="N3" s="31"/>
      <c r="O3" s="31"/>
    </row>
    <row r="4" spans="1:15" ht="15" customHeight="1">
      <c r="A4" s="32"/>
      <c r="B4" s="33" t="s">
        <v>51</v>
      </c>
      <c r="C4" s="34">
        <f>MIN(P:P)</f>
        <v>25</v>
      </c>
      <c r="D4" s="35"/>
      <c r="E4" s="35"/>
      <c r="N4" s="31"/>
      <c r="O4" s="31"/>
    </row>
    <row r="5" spans="1:15" ht="15" customHeight="1">
      <c r="A5" s="34" t="s">
        <v>52</v>
      </c>
      <c r="B5" s="34"/>
      <c r="C5" s="34"/>
      <c r="D5" s="35"/>
      <c r="E5" s="35"/>
      <c r="N5" s="31"/>
      <c r="O5" s="31"/>
    </row>
    <row r="6" spans="1:15" ht="13.5" customHeight="1">
      <c r="A6" s="36"/>
      <c r="N6" s="31"/>
      <c r="O6" s="31"/>
    </row>
    <row r="7" spans="1:17" ht="15.75" customHeight="1">
      <c r="A7" s="37" t="s">
        <v>117</v>
      </c>
      <c r="B7" s="38" t="s">
        <v>54</v>
      </c>
      <c r="C7" s="39" t="s">
        <v>55</v>
      </c>
      <c r="D7" s="38" t="s">
        <v>56</v>
      </c>
      <c r="E7" s="38" t="s">
        <v>57</v>
      </c>
      <c r="F7" s="38" t="s">
        <v>58</v>
      </c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9" t="s">
        <v>65</v>
      </c>
      <c r="N7" s="38" t="s">
        <v>66</v>
      </c>
      <c r="O7" s="38" t="s">
        <v>67</v>
      </c>
      <c r="P7" s="38" t="s">
        <v>68</v>
      </c>
      <c r="Q7" s="38" t="s">
        <v>69</v>
      </c>
    </row>
    <row r="8" spans="1:17" ht="14.25" customHeight="1">
      <c r="A8" s="40">
        <f>dane_TZ!A2</f>
        <v>200</v>
      </c>
      <c r="B8" s="83" t="str">
        <f>dane_TZ!B2</f>
        <v>Andrzej Krochmal
Tomasz Gronau</v>
      </c>
      <c r="C8" s="83" t="str">
        <f>dane_TZ!C2</f>
        <v>HKT "TREP" PTTK Warszawa Praga Płd.</v>
      </c>
      <c r="D8" s="44"/>
      <c r="E8" s="44"/>
      <c r="F8" s="44">
        <v>6.4</v>
      </c>
      <c r="G8" s="44"/>
      <c r="H8" s="44"/>
      <c r="I8" s="44"/>
      <c r="J8" s="44"/>
      <c r="K8" s="44"/>
      <c r="L8" s="44"/>
      <c r="M8" s="44"/>
      <c r="N8" s="44"/>
      <c r="O8" s="44"/>
      <c r="P8" s="45">
        <f>IF(O8="",90*D9+60*E9+25*F9+15*G9+10*H9+10*I9+30*(J9+K9+L9)+M8+N8,"NKL")</f>
        <v>50</v>
      </c>
      <c r="Q8" s="46">
        <f>IF(P8&lt;&gt;"",IF(ISNUMBER(P8),MAX(1000*(($C$3+$C$4-P8)/$C$3),1),0))</f>
        <v>981.0606060606061</v>
      </c>
    </row>
    <row r="9" spans="1:17" ht="14.25" customHeight="1">
      <c r="A9" s="40"/>
      <c r="B9" s="83"/>
      <c r="C9" s="83"/>
      <c r="D9" s="44"/>
      <c r="E9" s="44"/>
      <c r="F9" s="44">
        <v>2</v>
      </c>
      <c r="G9" s="44"/>
      <c r="H9" s="44"/>
      <c r="I9" s="44"/>
      <c r="J9" s="44"/>
      <c r="K9" s="44"/>
      <c r="L9" s="44"/>
      <c r="M9" s="44"/>
      <c r="N9" s="44"/>
      <c r="O9" s="44"/>
      <c r="P9" s="45"/>
      <c r="Q9" s="46"/>
    </row>
    <row r="10" spans="1:17" ht="14.25" customHeight="1">
      <c r="A10" s="84">
        <f>dane_TZ!A3</f>
        <v>201</v>
      </c>
      <c r="B10" s="85" t="str">
        <f>dane_TZ!B3</f>
        <v>Joanna Puternicka
Wieszaczewski Jacek</v>
      </c>
      <c r="C10" s="85" t="str">
        <f>dane_TZ!C3</f>
        <v>Wrocław</v>
      </c>
      <c r="D10" s="69"/>
      <c r="E10" s="69"/>
      <c r="F10" s="69" t="s">
        <v>121</v>
      </c>
      <c r="G10" s="69"/>
      <c r="H10" s="69"/>
      <c r="I10" s="69"/>
      <c r="J10" s="69"/>
      <c r="K10" s="69"/>
      <c r="L10" s="69"/>
      <c r="M10" s="50"/>
      <c r="N10" s="50">
        <v>4</v>
      </c>
      <c r="O10" s="50"/>
      <c r="P10" s="51">
        <f>IF(O10="",90*D11+60*E11+25*F11+15*G11+10*H11+10*I11+30*(J11+K11+L11)+M10+N10,"NKL")</f>
        <v>79</v>
      </c>
      <c r="Q10" s="52">
        <f>IF(P10&lt;&gt;"",IF(ISNUMBER(P10),MAX(1000*(($C$3+$C$4-P10)/$C$3),1),0))</f>
        <v>959.0909090909091</v>
      </c>
    </row>
    <row r="11" spans="1:17" ht="14.25" customHeight="1">
      <c r="A11" s="84"/>
      <c r="B11" s="85"/>
      <c r="C11" s="85"/>
      <c r="D11" s="70"/>
      <c r="E11" s="70"/>
      <c r="F11" s="70">
        <v>3</v>
      </c>
      <c r="G11" s="70"/>
      <c r="H11" s="70"/>
      <c r="I11" s="70"/>
      <c r="J11" s="70"/>
      <c r="K11" s="70"/>
      <c r="L11" s="70"/>
      <c r="M11" s="50"/>
      <c r="N11" s="50"/>
      <c r="O11" s="50"/>
      <c r="P11" s="51"/>
      <c r="Q11" s="52"/>
    </row>
    <row r="12" spans="1:17" ht="16.5" customHeight="1">
      <c r="A12" s="40">
        <f>dane_TZ!A4</f>
        <v>202</v>
      </c>
      <c r="B12" s="83" t="str">
        <f>dane_TZ!B4</f>
        <v>Otap Sławomir</v>
      </c>
      <c r="C12" s="83" t="str">
        <f>dane_TZ!C4</f>
        <v>Warszawa</v>
      </c>
      <c r="D12" s="44"/>
      <c r="E12" s="44"/>
      <c r="F12" s="44">
        <v>6.4</v>
      </c>
      <c r="G12" s="44"/>
      <c r="H12" s="44">
        <v>10</v>
      </c>
      <c r="I12" s="44"/>
      <c r="J12" s="44"/>
      <c r="K12" s="44"/>
      <c r="L12" s="44"/>
      <c r="M12" s="44"/>
      <c r="N12" s="44"/>
      <c r="O12" s="44"/>
      <c r="P12" s="45">
        <f>IF(O12="",90*D13+60*E13+25*F13+15*G13+10*H13+10*I13+30*(J13+K13+L13)+M12+N12,"NKL")</f>
        <v>60</v>
      </c>
      <c r="Q12" s="46">
        <f>IF(P12&lt;&gt;"",IF(ISNUMBER(P12),MAX(1000*(($C$3+$C$4-P12)/$C$3),1),0))</f>
        <v>973.4848484848485</v>
      </c>
    </row>
    <row r="13" spans="1:17" ht="14.25" customHeight="1">
      <c r="A13" s="40"/>
      <c r="B13" s="83"/>
      <c r="C13" s="83"/>
      <c r="D13" s="44"/>
      <c r="E13" s="44"/>
      <c r="F13" s="44">
        <v>2</v>
      </c>
      <c r="G13" s="44"/>
      <c r="H13" s="44">
        <v>1</v>
      </c>
      <c r="I13" s="44"/>
      <c r="J13" s="44"/>
      <c r="K13" s="44"/>
      <c r="L13" s="44"/>
      <c r="M13" s="44"/>
      <c r="N13" s="44"/>
      <c r="O13" s="44"/>
      <c r="P13" s="45"/>
      <c r="Q13" s="46"/>
    </row>
    <row r="14" spans="1:17" ht="14.25" customHeight="1">
      <c r="A14" s="84">
        <f>dane_TZ!A5</f>
        <v>203</v>
      </c>
      <c r="B14" s="85" t="str">
        <f>dane_TZ!B5</f>
        <v>Mariusz Góraj
Robert Chruślak</v>
      </c>
      <c r="C14" s="85" t="str">
        <f>dane_TZ!C5</f>
        <v>Skróty Radom</v>
      </c>
      <c r="D14" s="69"/>
      <c r="E14" s="69"/>
      <c r="F14" s="69">
        <v>6.4</v>
      </c>
      <c r="G14" s="69"/>
      <c r="H14" s="69">
        <v>5</v>
      </c>
      <c r="I14" s="69"/>
      <c r="J14" s="69"/>
      <c r="K14" s="69"/>
      <c r="L14" s="69"/>
      <c r="M14" s="50"/>
      <c r="N14" s="50"/>
      <c r="O14" s="50"/>
      <c r="P14" s="51">
        <f>IF(O14="",90*D15+60*E15+25*F15+15*G15+10*H15+10*I15+30*(J15+K15+L15)+M14+N14,"NKL")</f>
        <v>60</v>
      </c>
      <c r="Q14" s="52">
        <f>IF(P14&lt;&gt;"",IF(ISNUMBER(P14),MAX(1000*(($C$3+$C$4-P14)/$C$3),1),0))</f>
        <v>973.4848484848485</v>
      </c>
    </row>
    <row r="15" spans="1:17" ht="29.25" customHeight="1">
      <c r="A15" s="84"/>
      <c r="B15" s="85"/>
      <c r="C15" s="85"/>
      <c r="D15" s="70"/>
      <c r="E15" s="70"/>
      <c r="F15" s="70">
        <v>2</v>
      </c>
      <c r="G15" s="70"/>
      <c r="H15" s="70">
        <v>1</v>
      </c>
      <c r="I15" s="70"/>
      <c r="J15" s="70"/>
      <c r="K15" s="70"/>
      <c r="L15" s="70"/>
      <c r="M15" s="50"/>
      <c r="N15" s="50"/>
      <c r="O15" s="50"/>
      <c r="P15" s="51"/>
      <c r="Q15" s="52"/>
    </row>
    <row r="16" spans="1:17" ht="15.75" customHeight="1">
      <c r="A16" s="40">
        <f>dane_TZ!A6</f>
        <v>204</v>
      </c>
      <c r="B16" s="83" t="str">
        <f>dane_TZ!B6</f>
        <v>Barbara Szmyt
Dariusz Walczyna</v>
      </c>
      <c r="C16" s="83" t="str">
        <f>dane_TZ!C6</f>
        <v>Stowarzysze Warszawa</v>
      </c>
      <c r="D16" s="44"/>
      <c r="E16" s="44"/>
      <c r="F16" s="44">
        <v>6.4</v>
      </c>
      <c r="G16" s="44"/>
      <c r="H16" s="44"/>
      <c r="I16" s="44"/>
      <c r="J16" s="44"/>
      <c r="K16" s="44"/>
      <c r="L16" s="44"/>
      <c r="M16" s="44"/>
      <c r="N16" s="44"/>
      <c r="O16" s="44"/>
      <c r="P16" s="45">
        <f>IF(O16="",90*D17+60*E17+25*F17+15*G17+10*H17+10*I17+30*(J17+K17+L17)+M16+N16,"NKL")</f>
        <v>50</v>
      </c>
      <c r="Q16" s="46">
        <f>IF(P16&lt;&gt;"",IF(ISNUMBER(P16),MAX(1000*(($C$3+$C$4-P16)/$C$3),1),0))</f>
        <v>981.0606060606061</v>
      </c>
    </row>
    <row r="17" spans="1:17" ht="15" customHeight="1">
      <c r="A17" s="40"/>
      <c r="B17" s="83"/>
      <c r="C17" s="83"/>
      <c r="D17" s="44"/>
      <c r="E17" s="44"/>
      <c r="F17" s="44">
        <v>2</v>
      </c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</row>
    <row r="18" spans="1:17" ht="14.25" customHeight="1">
      <c r="A18" s="84">
        <f>dane_TZ!A7</f>
        <v>205</v>
      </c>
      <c r="B18" s="85" t="str">
        <f>dane_TZ!B7</f>
        <v>Anna Natuszewicz
Kamil Herman</v>
      </c>
      <c r="C18" s="85" t="str">
        <f>dane_TZ!C7</f>
        <v>Stowarzysze Warszawa</v>
      </c>
      <c r="D18" s="69">
        <v>4</v>
      </c>
      <c r="E18" s="69"/>
      <c r="F18" s="69" t="s">
        <v>122</v>
      </c>
      <c r="G18" s="69"/>
      <c r="H18" s="69"/>
      <c r="I18" s="69"/>
      <c r="J18" s="69"/>
      <c r="K18" s="69"/>
      <c r="L18" s="69"/>
      <c r="M18" s="50"/>
      <c r="N18" s="50">
        <v>35</v>
      </c>
      <c r="O18" s="50"/>
      <c r="P18" s="51">
        <f>IF(O18="",90*D19+60*E19+25*F19+15*G19+10*H19+10*I19+30*(J19+K19+L19)+M18+N18,"NKL")</f>
        <v>225</v>
      </c>
      <c r="Q18" s="52">
        <f>IF(P18&lt;&gt;"",IF(ISNUMBER(P18),MAX(1000*(($C$3+$C$4-P18)/$C$3),1),0))</f>
        <v>848.4848484848485</v>
      </c>
    </row>
    <row r="19" spans="1:17" ht="14.25" customHeight="1">
      <c r="A19" s="84"/>
      <c r="B19" s="85"/>
      <c r="C19" s="85"/>
      <c r="D19" s="70">
        <v>1</v>
      </c>
      <c r="E19" s="70"/>
      <c r="F19" s="70">
        <v>4</v>
      </c>
      <c r="G19" s="70"/>
      <c r="H19" s="70"/>
      <c r="I19" s="70"/>
      <c r="J19" s="70"/>
      <c r="K19" s="70"/>
      <c r="L19" s="70"/>
      <c r="M19" s="50"/>
      <c r="N19" s="50"/>
      <c r="O19" s="50"/>
      <c r="P19" s="51"/>
      <c r="Q19" s="52"/>
    </row>
    <row r="20" spans="1:17" ht="15.75" customHeight="1">
      <c r="A20" s="40">
        <f>dane_TZ!A8</f>
        <v>206</v>
      </c>
      <c r="B20" s="83" t="str">
        <f>dane_TZ!B8</f>
        <v>Marcin Szajko
Adam Krochmal</v>
      </c>
      <c r="C20" s="83" t="str">
        <f>dane_TZ!C8</f>
        <v>Stowarzysze Warszawa</v>
      </c>
      <c r="D20" s="44"/>
      <c r="E20" s="44"/>
      <c r="F20" s="44">
        <v>6</v>
      </c>
      <c r="G20" s="44"/>
      <c r="H20" s="44"/>
      <c r="I20" s="44"/>
      <c r="J20" s="44"/>
      <c r="K20" s="44"/>
      <c r="L20" s="44"/>
      <c r="M20" s="44"/>
      <c r="N20" s="44"/>
      <c r="O20" s="44"/>
      <c r="P20" s="45">
        <f>IF(O20="",90*D21+60*E21+25*F21+15*G21+10*H21+10*I21+30*(J21+K21+L21)+M20+N20,"NKL")</f>
        <v>25</v>
      </c>
      <c r="Q20" s="46">
        <f>IF(P20&lt;&gt;"",IF(ISNUMBER(P20),MAX(1000*(($C$3+$C$4-P20)/$C$3),1),0))</f>
        <v>1000</v>
      </c>
    </row>
    <row r="21" spans="1:17" ht="15.75" customHeight="1">
      <c r="A21" s="40"/>
      <c r="B21" s="83"/>
      <c r="C21" s="83"/>
      <c r="D21" s="44"/>
      <c r="E21" s="44"/>
      <c r="F21" s="44">
        <v>1</v>
      </c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6"/>
    </row>
    <row r="22" spans="1:17" ht="15" customHeight="1">
      <c r="A22" s="84">
        <f>dane_TZ!A9</f>
        <v>208</v>
      </c>
      <c r="B22" s="85" t="str">
        <f>dane_TZ!B9</f>
        <v>Kazimierz Makieła</v>
      </c>
      <c r="C22" s="85" t="str">
        <f>dane_TZ!C9</f>
        <v>Warszawa</v>
      </c>
      <c r="D22" s="69"/>
      <c r="E22" s="69"/>
      <c r="F22" s="69">
        <v>6.4</v>
      </c>
      <c r="G22" s="69"/>
      <c r="H22" s="69"/>
      <c r="I22" s="69"/>
      <c r="J22" s="69"/>
      <c r="K22" s="69"/>
      <c r="L22" s="69"/>
      <c r="M22" s="50"/>
      <c r="N22" s="50">
        <v>3</v>
      </c>
      <c r="O22" s="50"/>
      <c r="P22" s="51">
        <f>IF(O22="",90*D23+60*E23+25*F23+15*G23+10*H23+10*I23+30*(J23+K23+L23)+M22+N22,"NKL")</f>
        <v>53</v>
      </c>
      <c r="Q22" s="52">
        <f>IF(P22&lt;&gt;"",IF(ISNUMBER(P22),MAX(1000*(($C$3+$C$4-P22)/$C$3),1),0))</f>
        <v>978.7878787878788</v>
      </c>
    </row>
    <row r="23" spans="1:17" ht="15.75" customHeight="1">
      <c r="A23" s="84"/>
      <c r="B23" s="85"/>
      <c r="C23" s="85"/>
      <c r="D23" s="70"/>
      <c r="E23" s="70"/>
      <c r="F23" s="70">
        <v>2</v>
      </c>
      <c r="G23" s="70"/>
      <c r="H23" s="70"/>
      <c r="I23" s="70"/>
      <c r="J23" s="70"/>
      <c r="K23" s="70"/>
      <c r="L23" s="70"/>
      <c r="M23" s="50"/>
      <c r="N23" s="50"/>
      <c r="O23" s="50"/>
      <c r="P23" s="51"/>
      <c r="Q23" s="52"/>
    </row>
    <row r="24" spans="1:17" ht="15" customHeight="1">
      <c r="A24" s="40">
        <f>dane_TZ!A10</f>
        <v>209</v>
      </c>
      <c r="B24" s="83" t="str">
        <f>dane_TZ!B10</f>
        <v>Mateusz Sieńko
Frynas Sławomir</v>
      </c>
      <c r="C24" s="83" t="str">
        <f>dane_TZ!C10</f>
        <v>Lublin</v>
      </c>
      <c r="D24" s="44"/>
      <c r="E24" s="44"/>
      <c r="F24" s="44">
        <v>6.4</v>
      </c>
      <c r="G24" s="44"/>
      <c r="H24" s="44"/>
      <c r="I24" s="44"/>
      <c r="J24" s="44"/>
      <c r="K24" s="44"/>
      <c r="L24" s="44"/>
      <c r="M24" s="44"/>
      <c r="N24" s="44"/>
      <c r="O24" s="44"/>
      <c r="P24" s="45">
        <f>IF(O24="",90*D25+60*E25+25*F25+15*G25+10*H25+10*I25+30*(J25+K25+L25)+M24+N24,"NKL")</f>
        <v>50</v>
      </c>
      <c r="Q24" s="46">
        <f>IF(P24&lt;&gt;"",IF(ISNUMBER(P24),MAX(1000*(($C$3+$C$4-P24)/$C$3),1),0))</f>
        <v>981.0606060606061</v>
      </c>
    </row>
    <row r="25" spans="1:17" ht="15.75" customHeight="1">
      <c r="A25" s="40"/>
      <c r="B25" s="83"/>
      <c r="C25" s="83"/>
      <c r="D25" s="44"/>
      <c r="E25" s="44"/>
      <c r="F25" s="44">
        <v>2</v>
      </c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46"/>
    </row>
  </sheetData>
  <sheetProtection selectLockedCells="1" selectUnlockedCells="1"/>
  <mergeCells count="73">
    <mergeCell ref="F2:I2"/>
    <mergeCell ref="A8:A9"/>
    <mergeCell ref="B8:B9"/>
    <mergeCell ref="C8:C9"/>
    <mergeCell ref="M8:M9"/>
    <mergeCell ref="N8:N9"/>
    <mergeCell ref="O8:O9"/>
    <mergeCell ref="P8:P9"/>
    <mergeCell ref="Q8:Q9"/>
    <mergeCell ref="A10:A11"/>
    <mergeCell ref="B10:B11"/>
    <mergeCell ref="C10:C11"/>
    <mergeCell ref="M10:M11"/>
    <mergeCell ref="N10:N11"/>
    <mergeCell ref="O10:O11"/>
    <mergeCell ref="P10:P11"/>
    <mergeCell ref="Q10:Q11"/>
    <mergeCell ref="A12:A13"/>
    <mergeCell ref="B12:B13"/>
    <mergeCell ref="C12:C13"/>
    <mergeCell ref="M12:M13"/>
    <mergeCell ref="N12:N13"/>
    <mergeCell ref="O12:O13"/>
    <mergeCell ref="P12:P13"/>
    <mergeCell ref="Q12:Q13"/>
    <mergeCell ref="A14:A15"/>
    <mergeCell ref="B14:B15"/>
    <mergeCell ref="C14:C15"/>
    <mergeCell ref="M14:M15"/>
    <mergeCell ref="N14:N15"/>
    <mergeCell ref="O14:O15"/>
    <mergeCell ref="P14:P15"/>
    <mergeCell ref="Q14:Q15"/>
    <mergeCell ref="A16:A17"/>
    <mergeCell ref="B16:B17"/>
    <mergeCell ref="C16:C17"/>
    <mergeCell ref="M16:M17"/>
    <mergeCell ref="N16:N17"/>
    <mergeCell ref="O16:O17"/>
    <mergeCell ref="P16:P17"/>
    <mergeCell ref="Q16:Q17"/>
    <mergeCell ref="A18:A19"/>
    <mergeCell ref="B18:B19"/>
    <mergeCell ref="C18:C19"/>
    <mergeCell ref="M18:M19"/>
    <mergeCell ref="N18:N19"/>
    <mergeCell ref="O18:O19"/>
    <mergeCell ref="P18:P19"/>
    <mergeCell ref="Q18:Q19"/>
    <mergeCell ref="A20:A21"/>
    <mergeCell ref="B20:B21"/>
    <mergeCell ref="C20:C21"/>
    <mergeCell ref="M20:M21"/>
    <mergeCell ref="N20:N21"/>
    <mergeCell ref="O20:O21"/>
    <mergeCell ref="P20:P21"/>
    <mergeCell ref="Q20:Q21"/>
    <mergeCell ref="A22:A23"/>
    <mergeCell ref="B22:B23"/>
    <mergeCell ref="C22:C23"/>
    <mergeCell ref="M22:M23"/>
    <mergeCell ref="N22:N23"/>
    <mergeCell ref="O22:O23"/>
    <mergeCell ref="P22:P23"/>
    <mergeCell ref="Q22:Q23"/>
    <mergeCell ref="A24:A25"/>
    <mergeCell ref="B24:B25"/>
    <mergeCell ref="C24:C25"/>
    <mergeCell ref="M24:M25"/>
    <mergeCell ref="N24:N25"/>
    <mergeCell ref="O24:O25"/>
    <mergeCell ref="P24:P25"/>
    <mergeCell ref="Q24:Q25"/>
  </mergeCells>
  <printOptions/>
  <pageMargins left="0.25" right="0.25" top="0.75" bottom="0.75" header="0.5118055555555555" footer="0.5118055555555555"/>
  <pageSetup horizontalDpi="300" verticalDpi="300" orientation="landscape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workbookViewId="0" topLeftCell="A1">
      <selection activeCell="D15" sqref="D15"/>
    </sheetView>
  </sheetViews>
  <sheetFormatPr defaultColWidth="9.140625" defaultRowHeight="15" customHeight="1"/>
  <cols>
    <col min="1" max="1" width="7.140625" style="29" customWidth="1"/>
    <col min="2" max="2" width="16.421875" style="29" customWidth="1"/>
    <col min="3" max="3" width="19.28125" style="29" customWidth="1"/>
    <col min="4" max="4" width="8.57421875" style="29" customWidth="1"/>
    <col min="5" max="5" width="6.57421875" style="29" customWidth="1"/>
    <col min="6" max="6" width="9.140625" style="29" customWidth="1"/>
    <col min="7" max="7" width="6.421875" style="29" customWidth="1"/>
    <col min="8" max="8" width="9.140625" style="29" customWidth="1"/>
    <col min="9" max="9" width="6.57421875" style="29" customWidth="1"/>
    <col min="10" max="10" width="7.7109375" style="29" customWidth="1"/>
    <col min="11" max="11" width="8.00390625" style="29" customWidth="1"/>
    <col min="12" max="12" width="7.00390625" style="29" customWidth="1"/>
    <col min="13" max="15" width="9.140625" style="29" customWidth="1"/>
    <col min="16" max="16" width="10.57421875" style="29" customWidth="1"/>
    <col min="17" max="17" width="11.140625" style="29" customWidth="1"/>
    <col min="18" max="16384" width="9.140625" style="29" customWidth="1"/>
  </cols>
  <sheetData>
    <row r="1" spans="3:15" ht="15" customHeight="1">
      <c r="C1" s="30"/>
      <c r="E1" s="30"/>
      <c r="G1" s="30"/>
      <c r="N1" s="31"/>
      <c r="O1" s="31"/>
    </row>
    <row r="2" spans="1:15" ht="15" customHeight="1">
      <c r="A2" s="32"/>
      <c r="B2" s="33"/>
      <c r="C2" s="34"/>
      <c r="E2" s="35"/>
      <c r="F2" s="6" t="s">
        <v>116</v>
      </c>
      <c r="G2" s="6"/>
      <c r="H2" s="6"/>
      <c r="I2" s="6"/>
      <c r="N2" s="31"/>
      <c r="O2" s="31"/>
    </row>
    <row r="3" spans="1:15" ht="15" customHeight="1">
      <c r="A3" s="32"/>
      <c r="B3" s="33" t="s">
        <v>49</v>
      </c>
      <c r="C3" s="34">
        <f>+_TSE3</f>
        <v>1170</v>
      </c>
      <c r="D3" s="35"/>
      <c r="E3" s="35"/>
      <c r="F3" s="74" t="s">
        <v>112</v>
      </c>
      <c r="G3" s="74"/>
      <c r="H3" s="74"/>
      <c r="I3" s="82"/>
      <c r="N3" s="31"/>
      <c r="O3" s="31"/>
    </row>
    <row r="4" spans="1:15" ht="15" customHeight="1">
      <c r="A4" s="32"/>
      <c r="B4" s="33" t="s">
        <v>51</v>
      </c>
      <c r="C4" s="34">
        <f>MIN(P:P)</f>
        <v>68</v>
      </c>
      <c r="D4" s="35"/>
      <c r="E4" s="35"/>
      <c r="N4" s="31"/>
      <c r="O4" s="31"/>
    </row>
    <row r="5" spans="1:15" ht="15" customHeight="1">
      <c r="A5" s="34" t="s">
        <v>52</v>
      </c>
      <c r="B5" s="34"/>
      <c r="C5" s="34"/>
      <c r="D5" s="35"/>
      <c r="E5" s="35"/>
      <c r="N5" s="31"/>
      <c r="O5" s="31"/>
    </row>
    <row r="6" spans="1:15" ht="15" customHeight="1">
      <c r="A6" s="36"/>
      <c r="N6" s="31"/>
      <c r="O6" s="31"/>
    </row>
    <row r="7" spans="1:17" ht="15.75" customHeight="1">
      <c r="A7" s="37" t="s">
        <v>117</v>
      </c>
      <c r="B7" s="38" t="s">
        <v>54</v>
      </c>
      <c r="C7" s="39" t="s">
        <v>55</v>
      </c>
      <c r="D7" s="38" t="s">
        <v>56</v>
      </c>
      <c r="E7" s="38" t="s">
        <v>57</v>
      </c>
      <c r="F7" s="38" t="s">
        <v>58</v>
      </c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9" t="s">
        <v>65</v>
      </c>
      <c r="N7" s="38" t="s">
        <v>66</v>
      </c>
      <c r="O7" s="38" t="s">
        <v>67</v>
      </c>
      <c r="P7" s="38" t="s">
        <v>68</v>
      </c>
      <c r="Q7" s="38" t="s">
        <v>69</v>
      </c>
    </row>
    <row r="8" spans="1:17" ht="15" customHeight="1">
      <c r="A8" s="40">
        <f>dane_TZ!A2</f>
        <v>200</v>
      </c>
      <c r="B8" s="83" t="str">
        <f>dane_TZ!B2</f>
        <v>Andrzej Krochmal
Tomasz Gronau</v>
      </c>
      <c r="C8" s="83" t="str">
        <f>dane_TZ!C2</f>
        <v>HKT "TREP" PTTK Warszawa Praga Płd.</v>
      </c>
      <c r="D8" s="44"/>
      <c r="E8" s="44"/>
      <c r="F8" s="44" t="s">
        <v>123</v>
      </c>
      <c r="G8" s="44"/>
      <c r="H8" s="44"/>
      <c r="I8" s="44"/>
      <c r="J8" s="44"/>
      <c r="K8" s="44"/>
      <c r="L8" s="44"/>
      <c r="M8" s="44">
        <v>10</v>
      </c>
      <c r="N8" s="44">
        <v>8</v>
      </c>
      <c r="O8" s="44"/>
      <c r="P8" s="45">
        <f>IF(O8="",90*D9+60*E9+25*F9+15*G9+10*H9+10*I9+30*(J9+K9+L9)+M8+N8,"NKL")</f>
        <v>68</v>
      </c>
      <c r="Q8" s="46">
        <f>IF(P8&lt;&gt;"",IF(ISNUMBER(P8),MAX(1000*(($C$3+$C$4-P8)/$C$3),1),0))</f>
        <v>1000</v>
      </c>
    </row>
    <row r="9" spans="1:17" ht="15.75" customHeight="1">
      <c r="A9" s="40"/>
      <c r="B9" s="83"/>
      <c r="C9" s="83"/>
      <c r="D9" s="44"/>
      <c r="E9" s="44"/>
      <c r="F9" s="44">
        <v>2</v>
      </c>
      <c r="G9" s="44"/>
      <c r="H9" s="44"/>
      <c r="I9" s="44"/>
      <c r="J9" s="44"/>
      <c r="K9" s="44"/>
      <c r="L9" s="44"/>
      <c r="M9" s="44"/>
      <c r="N9" s="44"/>
      <c r="O9" s="44"/>
      <c r="P9" s="45"/>
      <c r="Q9" s="46"/>
    </row>
    <row r="10" spans="1:17" ht="15" customHeight="1">
      <c r="A10" s="84">
        <f>dane_TZ!A3</f>
        <v>201</v>
      </c>
      <c r="B10" s="85" t="str">
        <f>dane_TZ!B3</f>
        <v>Joanna Puternicka
Wieszaczewski Jacek</v>
      </c>
      <c r="C10" s="85" t="str">
        <f>dane_TZ!C3</f>
        <v>Wrocław</v>
      </c>
      <c r="D10" s="69"/>
      <c r="E10" s="69"/>
      <c r="F10" s="69" t="s">
        <v>124</v>
      </c>
      <c r="G10" s="69"/>
      <c r="H10" s="69"/>
      <c r="I10" s="69"/>
      <c r="J10" s="69"/>
      <c r="K10" s="69"/>
      <c r="L10" s="69"/>
      <c r="M10" s="50">
        <v>3</v>
      </c>
      <c r="N10" s="50">
        <v>11</v>
      </c>
      <c r="O10" s="50"/>
      <c r="P10" s="51">
        <f aca="true" t="shared" si="0" ref="P10">IF(O10="",90*D11+60*E11+25*F11+15*G11+10*H11+10*I11+30*(J11+K11+L11)+M10+N10,"NKL")</f>
        <v>139</v>
      </c>
      <c r="Q10" s="52">
        <f aca="true" t="shared" si="1" ref="Q10">IF(P10&lt;&gt;"",IF(ISNUMBER(P10),MAX(1000*(($C$3+$C$4-P10)/$C$3),1),0))</f>
        <v>939.3162393162393</v>
      </c>
    </row>
    <row r="11" spans="1:17" ht="15.75" customHeight="1">
      <c r="A11" s="84"/>
      <c r="B11" s="85"/>
      <c r="C11" s="85"/>
      <c r="D11" s="70"/>
      <c r="E11" s="70"/>
      <c r="F11" s="70">
        <v>5</v>
      </c>
      <c r="G11" s="70"/>
      <c r="H11" s="70"/>
      <c r="I11" s="70"/>
      <c r="J11" s="70"/>
      <c r="K11" s="70"/>
      <c r="L11" s="70"/>
      <c r="M11" s="50"/>
      <c r="N11" s="50"/>
      <c r="O11" s="50"/>
      <c r="P11" s="51"/>
      <c r="Q11" s="52"/>
    </row>
    <row r="12" spans="1:17" ht="15" customHeight="1">
      <c r="A12" s="40">
        <f>dane_TZ!A4</f>
        <v>202</v>
      </c>
      <c r="B12" s="83" t="str">
        <f>dane_TZ!B4</f>
        <v>Otap Sławomir</v>
      </c>
      <c r="C12" s="83" t="str">
        <f>dane_TZ!C4</f>
        <v>Warszawa</v>
      </c>
      <c r="D12" s="44"/>
      <c r="E12" s="44"/>
      <c r="F12" s="44" t="s">
        <v>125</v>
      </c>
      <c r="G12" s="44"/>
      <c r="H12" s="44" t="s">
        <v>126</v>
      </c>
      <c r="I12" s="44"/>
      <c r="J12" s="44"/>
      <c r="K12" s="44"/>
      <c r="L12" s="44"/>
      <c r="M12" s="44">
        <v>10</v>
      </c>
      <c r="N12" s="44">
        <v>20</v>
      </c>
      <c r="O12" s="44"/>
      <c r="P12" s="45">
        <f aca="true" t="shared" si="2" ref="P12">IF(O12="",90*D13+60*E13+25*F13+15*G13+10*H13+10*I13+30*(J13+K13+L13)+M12+N12,"NKL")</f>
        <v>75</v>
      </c>
      <c r="Q12" s="46">
        <f aca="true" t="shared" si="3" ref="Q12">IF(P12&lt;&gt;"",IF(ISNUMBER(P12),MAX(1000*(($C$3+$C$4-P12)/$C$3),1),0))</f>
        <v>994.017094017094</v>
      </c>
    </row>
    <row r="13" spans="1:17" ht="15.75" customHeight="1">
      <c r="A13" s="40"/>
      <c r="B13" s="83"/>
      <c r="C13" s="83"/>
      <c r="D13" s="44"/>
      <c r="E13" s="44"/>
      <c r="F13" s="44">
        <v>1</v>
      </c>
      <c r="G13" s="44"/>
      <c r="H13" s="44">
        <v>2</v>
      </c>
      <c r="I13" s="44"/>
      <c r="J13" s="44"/>
      <c r="K13" s="44"/>
      <c r="L13" s="44"/>
      <c r="M13" s="44"/>
      <c r="N13" s="44"/>
      <c r="O13" s="44"/>
      <c r="P13" s="45"/>
      <c r="Q13" s="46"/>
    </row>
    <row r="14" spans="1:17" ht="15" customHeight="1">
      <c r="A14" s="84">
        <f>dane_TZ!A5</f>
        <v>203</v>
      </c>
      <c r="B14" s="85" t="str">
        <f>dane_TZ!B5</f>
        <v>Mariusz Góraj
Robert Chruślak</v>
      </c>
      <c r="C14" s="85" t="str">
        <f>dane_TZ!C5</f>
        <v>Skróty Radom</v>
      </c>
      <c r="D14" s="69" t="s">
        <v>127</v>
      </c>
      <c r="E14" s="69"/>
      <c r="F14" s="69" t="s">
        <v>109</v>
      </c>
      <c r="G14" s="69"/>
      <c r="H14" s="69"/>
      <c r="I14" s="69"/>
      <c r="J14" s="69"/>
      <c r="K14" s="69"/>
      <c r="L14" s="69"/>
      <c r="M14" s="50">
        <v>10</v>
      </c>
      <c r="N14" s="50">
        <v>200</v>
      </c>
      <c r="O14" s="50"/>
      <c r="P14" s="51">
        <f aca="true" t="shared" si="4" ref="P14">IF(O14="",90*D15+60*E15+25*F15+15*G15+10*H15+10*I15+30*(J15+K15+L15)+M14+N14,"NKL")</f>
        <v>325</v>
      </c>
      <c r="Q14" s="52">
        <f aca="true" t="shared" si="5" ref="Q14">IF(P14&lt;&gt;"",IF(ISNUMBER(P14),MAX(1000*(($C$3+$C$4-P14)/$C$3),1),0))</f>
        <v>780.3418803418804</v>
      </c>
    </row>
    <row r="15" spans="1:17" ht="15.75" customHeight="1">
      <c r="A15" s="84"/>
      <c r="B15" s="85"/>
      <c r="C15" s="85"/>
      <c r="D15" s="70">
        <v>1</v>
      </c>
      <c r="E15" s="70"/>
      <c r="F15" s="70">
        <v>1</v>
      </c>
      <c r="G15" s="70"/>
      <c r="H15" s="70"/>
      <c r="I15" s="70"/>
      <c r="J15" s="70"/>
      <c r="K15" s="70"/>
      <c r="L15" s="70"/>
      <c r="M15" s="50"/>
      <c r="N15" s="50"/>
      <c r="O15" s="50"/>
      <c r="P15" s="51"/>
      <c r="Q15" s="52"/>
    </row>
    <row r="16" spans="1:17" ht="15" customHeight="1">
      <c r="A16" s="40">
        <f>dane_TZ!A6</f>
        <v>204</v>
      </c>
      <c r="B16" s="83" t="str">
        <f>dane_TZ!B6</f>
        <v>Barbara Szmyt
Dariusz Walczyna</v>
      </c>
      <c r="C16" s="83" t="str">
        <f>dane_TZ!C6</f>
        <v>Stowarzysze Warszawa</v>
      </c>
      <c r="D16" s="44"/>
      <c r="E16" s="44"/>
      <c r="F16" s="44" t="s">
        <v>128</v>
      </c>
      <c r="G16" s="44"/>
      <c r="H16" s="44" t="s">
        <v>129</v>
      </c>
      <c r="I16" s="44"/>
      <c r="J16" s="44"/>
      <c r="K16" s="44"/>
      <c r="L16" s="44"/>
      <c r="M16" s="44">
        <v>10</v>
      </c>
      <c r="N16" s="44">
        <v>16</v>
      </c>
      <c r="O16" s="44"/>
      <c r="P16" s="45">
        <f aca="true" t="shared" si="6" ref="P16">IF(O16="",90*D17+60*E17+25*F17+15*G17+10*H17+10*I17+30*(J17+K17+L17)+M16+N16,"NKL")</f>
        <v>86</v>
      </c>
      <c r="Q16" s="46">
        <f aca="true" t="shared" si="7" ref="Q16">IF(P16&lt;&gt;"",IF(ISNUMBER(P16),MAX(1000*(($C$3+$C$4-P16)/$C$3),1),0))</f>
        <v>984.6153846153846</v>
      </c>
    </row>
    <row r="17" spans="1:17" ht="15.75" customHeight="1">
      <c r="A17" s="40"/>
      <c r="B17" s="83"/>
      <c r="C17" s="83"/>
      <c r="D17" s="44"/>
      <c r="E17" s="44"/>
      <c r="F17" s="44">
        <v>2</v>
      </c>
      <c r="G17" s="44"/>
      <c r="H17" s="44">
        <v>1</v>
      </c>
      <c r="I17" s="44"/>
      <c r="J17" s="44"/>
      <c r="K17" s="44"/>
      <c r="L17" s="44"/>
      <c r="M17" s="44"/>
      <c r="N17" s="44"/>
      <c r="O17" s="44"/>
      <c r="P17" s="45"/>
      <c r="Q17" s="46"/>
    </row>
    <row r="18" spans="1:17" ht="15" customHeight="1">
      <c r="A18" s="84">
        <f>dane_TZ!A7</f>
        <v>205</v>
      </c>
      <c r="B18" s="85" t="str">
        <f>dane_TZ!B7</f>
        <v>Anna Natuszewicz
Kamil Herman</v>
      </c>
      <c r="C18" s="85" t="str">
        <f>dane_TZ!C7</f>
        <v>Stowarzysze Warszawa</v>
      </c>
      <c r="D18" s="69" t="s">
        <v>130</v>
      </c>
      <c r="E18" s="69"/>
      <c r="F18" s="69" t="s">
        <v>131</v>
      </c>
      <c r="G18" s="69"/>
      <c r="H18" s="69"/>
      <c r="I18" s="69"/>
      <c r="J18" s="69"/>
      <c r="K18" s="69"/>
      <c r="L18" s="69"/>
      <c r="M18" s="50">
        <v>10</v>
      </c>
      <c r="N18" s="50">
        <v>50</v>
      </c>
      <c r="O18" s="50"/>
      <c r="P18" s="51">
        <f aca="true" t="shared" si="8" ref="P18">IF(O18="",90*D19+60*E19+25*F19+15*G19+10*H19+10*I19+30*(J19+K19+L19)+M18+N18,"NKL")</f>
        <v>560</v>
      </c>
      <c r="Q18" s="52">
        <f aca="true" t="shared" si="9" ref="Q18">IF(P18&lt;&gt;"",IF(ISNUMBER(P18),MAX(1000*(($C$3+$C$4-P18)/$C$3),1),0))</f>
        <v>579.4871794871796</v>
      </c>
    </row>
    <row r="19" spans="1:17" ht="15.75" customHeight="1">
      <c r="A19" s="84"/>
      <c r="B19" s="85"/>
      <c r="C19" s="85"/>
      <c r="D19" s="70">
        <v>5</v>
      </c>
      <c r="E19" s="70"/>
      <c r="F19" s="70">
        <v>2</v>
      </c>
      <c r="G19" s="70"/>
      <c r="H19" s="70"/>
      <c r="I19" s="70"/>
      <c r="J19" s="70"/>
      <c r="K19" s="70"/>
      <c r="L19" s="70"/>
      <c r="M19" s="50"/>
      <c r="N19" s="50"/>
      <c r="O19" s="50"/>
      <c r="P19" s="51"/>
      <c r="Q19" s="52"/>
    </row>
    <row r="20" spans="1:17" ht="15" customHeight="1">
      <c r="A20" s="40">
        <f>dane_TZ!A8</f>
        <v>206</v>
      </c>
      <c r="B20" s="83" t="str">
        <f>dane_TZ!B8</f>
        <v>Marcin Szajko
Adam Krochmal</v>
      </c>
      <c r="C20" s="83" t="str">
        <f>dane_TZ!C8</f>
        <v>Stowarzysze Warszawa</v>
      </c>
      <c r="D20" s="44"/>
      <c r="E20" s="44"/>
      <c r="F20" s="44" t="s">
        <v>132</v>
      </c>
      <c r="G20" s="44"/>
      <c r="H20" s="44"/>
      <c r="I20" s="44"/>
      <c r="J20" s="44"/>
      <c r="K20" s="44"/>
      <c r="L20" s="44"/>
      <c r="M20" s="44">
        <v>10</v>
      </c>
      <c r="N20" s="44">
        <v>18</v>
      </c>
      <c r="O20" s="44"/>
      <c r="P20" s="45">
        <f aca="true" t="shared" si="10" ref="P20">IF(O20="",90*D21+60*E21+25*F21+15*G21+10*H21+10*I21+30*(J21+K21+L21)+M20+N20,"NKL")</f>
        <v>128</v>
      </c>
      <c r="Q20" s="46">
        <f aca="true" t="shared" si="11" ref="Q20">IF(P20&lt;&gt;"",IF(ISNUMBER(P20),MAX(1000*(($C$3+$C$4-P20)/$C$3),1),0))</f>
        <v>948.7179487179487</v>
      </c>
    </row>
    <row r="21" spans="1:17" ht="15.75" customHeight="1">
      <c r="A21" s="40"/>
      <c r="B21" s="83"/>
      <c r="C21" s="83"/>
      <c r="D21" s="44"/>
      <c r="E21" s="44"/>
      <c r="F21" s="44">
        <v>4</v>
      </c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6"/>
    </row>
    <row r="22" spans="1:17" ht="15" customHeight="1">
      <c r="A22" s="84">
        <f>dane_TZ!A9</f>
        <v>208</v>
      </c>
      <c r="B22" s="85" t="str">
        <f>dane_TZ!B9</f>
        <v>Kazimierz Makieła</v>
      </c>
      <c r="C22" s="85" t="str">
        <f>dane_TZ!C9</f>
        <v>Warszawa</v>
      </c>
      <c r="D22" s="69"/>
      <c r="E22" s="69"/>
      <c r="F22" s="69" t="s">
        <v>123</v>
      </c>
      <c r="G22" s="69"/>
      <c r="H22" s="69"/>
      <c r="I22" s="69"/>
      <c r="J22" s="69"/>
      <c r="K22" s="69"/>
      <c r="L22" s="69"/>
      <c r="M22" s="50">
        <v>10</v>
      </c>
      <c r="N22" s="50">
        <v>40</v>
      </c>
      <c r="O22" s="50"/>
      <c r="P22" s="51">
        <f aca="true" t="shared" si="12" ref="P22">IF(O22="",90*D23+60*E23+25*F23+15*G23+10*H23+10*I23+30*(J23+K23+L23)+M22+N22,"NKL")</f>
        <v>100</v>
      </c>
      <c r="Q22" s="52">
        <f aca="true" t="shared" si="13" ref="Q22">IF(P22&lt;&gt;"",IF(ISNUMBER(P22),MAX(1000*(($C$3+$C$4-P22)/$C$3),1),0))</f>
        <v>972.6495726495726</v>
      </c>
    </row>
    <row r="23" spans="1:17" ht="15.75" customHeight="1">
      <c r="A23" s="84"/>
      <c r="B23" s="85"/>
      <c r="C23" s="85"/>
      <c r="D23" s="70"/>
      <c r="E23" s="70"/>
      <c r="F23" s="70">
        <v>2</v>
      </c>
      <c r="G23" s="70"/>
      <c r="H23" s="70"/>
      <c r="I23" s="70"/>
      <c r="J23" s="70"/>
      <c r="K23" s="70"/>
      <c r="L23" s="70"/>
      <c r="M23" s="50"/>
      <c r="N23" s="50"/>
      <c r="O23" s="50"/>
      <c r="P23" s="51"/>
      <c r="Q23" s="52"/>
    </row>
    <row r="24" spans="1:17" ht="15" customHeight="1">
      <c r="A24" s="40">
        <f>dane_TZ!A10</f>
        <v>209</v>
      </c>
      <c r="B24" s="83" t="str">
        <f>dane_TZ!B10</f>
        <v>Mateusz Sieńko
Frynas Sławomir</v>
      </c>
      <c r="C24" s="83" t="str">
        <f>dane_TZ!C10</f>
        <v>Lublin</v>
      </c>
      <c r="D24" s="44"/>
      <c r="E24" s="44"/>
      <c r="F24" s="44" t="s">
        <v>132</v>
      </c>
      <c r="G24" s="44"/>
      <c r="H24" s="44"/>
      <c r="I24" s="44"/>
      <c r="J24" s="44"/>
      <c r="K24" s="44"/>
      <c r="L24" s="44"/>
      <c r="M24" s="44">
        <v>10</v>
      </c>
      <c r="N24" s="44">
        <v>90</v>
      </c>
      <c r="O24" s="44"/>
      <c r="P24" s="45">
        <f aca="true" t="shared" si="14" ref="P24">IF(O24="",90*D25+60*E25+25*F25+15*G25+10*H25+10*I25+30*(J25+K25+L25)+M24+N24,"NKL")</f>
        <v>200</v>
      </c>
      <c r="Q24" s="46">
        <f aca="true" t="shared" si="15" ref="Q24">IF(P24&lt;&gt;"",IF(ISNUMBER(P24),MAX(1000*(($C$3+$C$4-P24)/$C$3),1),0))</f>
        <v>887.1794871794872</v>
      </c>
    </row>
    <row r="25" spans="1:17" ht="15.75" customHeight="1">
      <c r="A25" s="40"/>
      <c r="B25" s="83"/>
      <c r="C25" s="83"/>
      <c r="D25" s="44"/>
      <c r="E25" s="44"/>
      <c r="F25" s="44">
        <v>4</v>
      </c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46"/>
    </row>
  </sheetData>
  <sheetProtection selectLockedCells="1" selectUnlockedCells="1"/>
  <mergeCells count="73">
    <mergeCell ref="F2:I2"/>
    <mergeCell ref="A8:A9"/>
    <mergeCell ref="B8:B9"/>
    <mergeCell ref="C8:C9"/>
    <mergeCell ref="M8:M9"/>
    <mergeCell ref="N8:N9"/>
    <mergeCell ref="O8:O9"/>
    <mergeCell ref="P8:P9"/>
    <mergeCell ref="Q8:Q9"/>
    <mergeCell ref="A10:A11"/>
    <mergeCell ref="B10:B11"/>
    <mergeCell ref="C10:C11"/>
    <mergeCell ref="M10:M11"/>
    <mergeCell ref="N10:N11"/>
    <mergeCell ref="O10:O11"/>
    <mergeCell ref="P10:P11"/>
    <mergeCell ref="Q10:Q11"/>
    <mergeCell ref="A12:A13"/>
    <mergeCell ref="B12:B13"/>
    <mergeCell ref="C12:C13"/>
    <mergeCell ref="M12:M13"/>
    <mergeCell ref="N12:N13"/>
    <mergeCell ref="O12:O13"/>
    <mergeCell ref="P12:P13"/>
    <mergeCell ref="Q12:Q13"/>
    <mergeCell ref="A14:A15"/>
    <mergeCell ref="B14:B15"/>
    <mergeCell ref="C14:C15"/>
    <mergeCell ref="M14:M15"/>
    <mergeCell ref="N14:N15"/>
    <mergeCell ref="O14:O15"/>
    <mergeCell ref="P14:P15"/>
    <mergeCell ref="Q14:Q15"/>
    <mergeCell ref="A16:A17"/>
    <mergeCell ref="B16:B17"/>
    <mergeCell ref="C16:C17"/>
    <mergeCell ref="M16:M17"/>
    <mergeCell ref="N16:N17"/>
    <mergeCell ref="O16:O17"/>
    <mergeCell ref="P16:P17"/>
    <mergeCell ref="Q16:Q17"/>
    <mergeCell ref="A18:A19"/>
    <mergeCell ref="B18:B19"/>
    <mergeCell ref="C18:C19"/>
    <mergeCell ref="M18:M19"/>
    <mergeCell ref="N18:N19"/>
    <mergeCell ref="O18:O19"/>
    <mergeCell ref="P18:P19"/>
    <mergeCell ref="Q18:Q19"/>
    <mergeCell ref="A20:A21"/>
    <mergeCell ref="B20:B21"/>
    <mergeCell ref="C20:C21"/>
    <mergeCell ref="M20:M21"/>
    <mergeCell ref="N20:N21"/>
    <mergeCell ref="O20:O21"/>
    <mergeCell ref="P20:P21"/>
    <mergeCell ref="Q20:Q21"/>
    <mergeCell ref="A22:A23"/>
    <mergeCell ref="B22:B23"/>
    <mergeCell ref="C22:C23"/>
    <mergeCell ref="M22:M23"/>
    <mergeCell ref="N22:N23"/>
    <mergeCell ref="O22:O23"/>
    <mergeCell ref="P22:P23"/>
    <mergeCell ref="Q22:Q23"/>
    <mergeCell ref="A24:A25"/>
    <mergeCell ref="B24:B25"/>
    <mergeCell ref="C24:C25"/>
    <mergeCell ref="M24:M25"/>
    <mergeCell ref="N24:N25"/>
    <mergeCell ref="O24:O25"/>
    <mergeCell ref="P24:P25"/>
    <mergeCell ref="Q24:Q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workbookViewId="0" topLeftCell="A1">
      <selection activeCell="D14" sqref="D14"/>
    </sheetView>
  </sheetViews>
  <sheetFormatPr defaultColWidth="9.140625" defaultRowHeight="15" customHeight="1"/>
  <cols>
    <col min="1" max="1" width="7.140625" style="29" customWidth="1"/>
    <col min="2" max="2" width="17.421875" style="29" customWidth="1"/>
    <col min="3" max="3" width="22.7109375" style="29" customWidth="1"/>
    <col min="4" max="4" width="8.57421875" style="29" customWidth="1"/>
    <col min="5" max="5" width="6.57421875" style="29" customWidth="1"/>
    <col min="6" max="6" width="9.140625" style="29" customWidth="1"/>
    <col min="7" max="7" width="6.421875" style="29" customWidth="1"/>
    <col min="8" max="8" width="9.140625" style="29" customWidth="1"/>
    <col min="9" max="9" width="6.57421875" style="29" customWidth="1"/>
    <col min="10" max="10" width="7.7109375" style="29" customWidth="1"/>
    <col min="11" max="11" width="8.00390625" style="29" customWidth="1"/>
    <col min="12" max="12" width="7.00390625" style="29" customWidth="1"/>
    <col min="13" max="15" width="9.140625" style="29" customWidth="1"/>
    <col min="16" max="16" width="10.57421875" style="29" customWidth="1"/>
    <col min="17" max="17" width="11.140625" style="29" customWidth="1"/>
    <col min="18" max="16384" width="9.140625" style="29" customWidth="1"/>
  </cols>
  <sheetData>
    <row r="1" spans="3:15" ht="15" customHeight="1">
      <c r="C1" s="30"/>
      <c r="E1" s="30"/>
      <c r="G1" s="30"/>
      <c r="N1" s="31"/>
      <c r="O1" s="31"/>
    </row>
    <row r="2" spans="1:15" ht="15" customHeight="1">
      <c r="A2" s="32"/>
      <c r="B2" s="33"/>
      <c r="C2" s="34"/>
      <c r="E2" s="35"/>
      <c r="F2" s="6" t="s">
        <v>116</v>
      </c>
      <c r="G2" s="6"/>
      <c r="H2" s="6"/>
      <c r="I2" s="6"/>
      <c r="N2" s="31"/>
      <c r="O2" s="31"/>
    </row>
    <row r="3" spans="1:15" ht="15" customHeight="1">
      <c r="A3" s="32"/>
      <c r="B3" s="33" t="s">
        <v>49</v>
      </c>
      <c r="C3" s="34">
        <f>_TSE4</f>
        <v>1260</v>
      </c>
      <c r="D3" s="35"/>
      <c r="E3" s="35"/>
      <c r="F3" s="74" t="s">
        <v>113</v>
      </c>
      <c r="G3" s="74"/>
      <c r="H3" s="74"/>
      <c r="I3" s="82"/>
      <c r="N3" s="31"/>
      <c r="O3" s="31"/>
    </row>
    <row r="4" spans="1:15" ht="15" customHeight="1">
      <c r="A4" s="32"/>
      <c r="B4" s="33" t="s">
        <v>51</v>
      </c>
      <c r="C4" s="34">
        <f>MIN(P:P)</f>
        <v>12</v>
      </c>
      <c r="D4" s="35"/>
      <c r="E4" s="35"/>
      <c r="N4" s="31"/>
      <c r="O4" s="31"/>
    </row>
    <row r="5" spans="1:15" ht="15" customHeight="1">
      <c r="A5" s="34" t="s">
        <v>52</v>
      </c>
      <c r="B5" s="34"/>
      <c r="C5" s="34"/>
      <c r="D5" s="35"/>
      <c r="E5" s="35"/>
      <c r="N5" s="31"/>
      <c r="O5" s="31"/>
    </row>
    <row r="6" spans="1:15" ht="15" customHeight="1">
      <c r="A6" s="36"/>
      <c r="N6" s="31"/>
      <c r="O6" s="31"/>
    </row>
    <row r="7" spans="1:17" ht="15.75" customHeight="1">
      <c r="A7" s="37" t="s">
        <v>117</v>
      </c>
      <c r="B7" s="38" t="s">
        <v>54</v>
      </c>
      <c r="C7" s="39" t="s">
        <v>55</v>
      </c>
      <c r="D7" s="38" t="s">
        <v>56</v>
      </c>
      <c r="E7" s="38" t="s">
        <v>57</v>
      </c>
      <c r="F7" s="38" t="s">
        <v>58</v>
      </c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9" t="s">
        <v>65</v>
      </c>
      <c r="N7" s="38" t="s">
        <v>66</v>
      </c>
      <c r="O7" s="38" t="s">
        <v>67</v>
      </c>
      <c r="P7" s="38" t="s">
        <v>68</v>
      </c>
      <c r="Q7" s="38" t="s">
        <v>69</v>
      </c>
    </row>
    <row r="8" spans="1:17" ht="15.75" customHeight="1">
      <c r="A8" s="40">
        <f>dane_TZ!A2</f>
        <v>200</v>
      </c>
      <c r="B8" s="83" t="str">
        <f>dane_TZ!B2</f>
        <v>Andrzej Krochmal
Tomasz Gronau</v>
      </c>
      <c r="C8" s="83" t="str">
        <f>dane_TZ!C2</f>
        <v>HKT "TREP" PTTK Warszawa Praga Płd.</v>
      </c>
      <c r="D8" s="44"/>
      <c r="E8" s="44"/>
      <c r="F8" s="44"/>
      <c r="G8" s="44"/>
      <c r="H8" s="44"/>
      <c r="I8" s="44"/>
      <c r="J8" s="44"/>
      <c r="K8" s="44"/>
      <c r="L8" s="44"/>
      <c r="M8" s="44">
        <v>12</v>
      </c>
      <c r="N8" s="44"/>
      <c r="O8" s="44"/>
      <c r="P8" s="45">
        <f>IF(O8="",90*D9+60*E9+25*F9+15*G9+10*H9+10*I9+30*(J9+K9+L9)+M8+N8,"NKL")</f>
        <v>12</v>
      </c>
      <c r="Q8" s="46">
        <f>IF(P8&lt;&gt;"",IF(ISNUMBER(P8),MAX(1000*(($C$3+$C$4-P8)/$C$3),1),0))</f>
        <v>1000</v>
      </c>
    </row>
    <row r="9" spans="1:17" ht="15.75" customHeight="1">
      <c r="A9" s="40"/>
      <c r="B9" s="83"/>
      <c r="C9" s="8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6"/>
    </row>
    <row r="10" spans="1:17" ht="15.75" customHeight="1">
      <c r="A10" s="84">
        <f>dane_TZ!A3</f>
        <v>201</v>
      </c>
      <c r="B10" s="85" t="str">
        <f>dane_TZ!B3</f>
        <v>Joanna Puternicka
Wieszaczewski Jacek</v>
      </c>
      <c r="C10" s="85" t="str">
        <f>dane_TZ!C3</f>
        <v>Wrocław</v>
      </c>
      <c r="D10" s="69"/>
      <c r="E10" s="69"/>
      <c r="F10" s="69"/>
      <c r="G10" s="69"/>
      <c r="H10" s="69"/>
      <c r="I10" s="69"/>
      <c r="J10" s="69"/>
      <c r="K10" s="69"/>
      <c r="L10" s="69"/>
      <c r="M10" s="50">
        <v>20</v>
      </c>
      <c r="N10" s="50">
        <v>7</v>
      </c>
      <c r="O10" s="50"/>
      <c r="P10" s="51">
        <f>IF(O10="",90*D11+60*E11+25*F11+15*G11+10*H11+10*I11+30*(J11+K11+L11)+M10+N10,"NKL")</f>
        <v>27</v>
      </c>
      <c r="Q10" s="52">
        <f>IF(P10&lt;&gt;"",IF(ISNUMBER(P10),MAX(1000*(($C$3+$C$4-P10)/$C$3),1),0))</f>
        <v>988.0952380952382</v>
      </c>
    </row>
    <row r="11" spans="1:17" ht="15.75" customHeight="1">
      <c r="A11" s="84"/>
      <c r="B11" s="85"/>
      <c r="C11" s="85"/>
      <c r="D11" s="70"/>
      <c r="E11" s="70"/>
      <c r="F11" s="70"/>
      <c r="G11" s="70"/>
      <c r="H11" s="70"/>
      <c r="I11" s="70"/>
      <c r="J11" s="70"/>
      <c r="K11" s="70"/>
      <c r="L11" s="70"/>
      <c r="M11" s="50"/>
      <c r="N11" s="50"/>
      <c r="O11" s="50"/>
      <c r="P11" s="51"/>
      <c r="Q11" s="52"/>
    </row>
    <row r="12" spans="1:17" ht="15" customHeight="1">
      <c r="A12" s="40">
        <f>dane_TZ!A4</f>
        <v>202</v>
      </c>
      <c r="B12" s="83" t="str">
        <f>dane_TZ!B4</f>
        <v>Otap Sławomir</v>
      </c>
      <c r="C12" s="83" t="str">
        <f>dane_TZ!C4</f>
        <v>Warszawa</v>
      </c>
      <c r="D12" s="44"/>
      <c r="E12" s="44"/>
      <c r="F12" s="44"/>
      <c r="G12" s="44"/>
      <c r="H12" s="44"/>
      <c r="I12" s="44"/>
      <c r="J12" s="44"/>
      <c r="K12" s="44"/>
      <c r="L12" s="44"/>
      <c r="M12" s="44">
        <v>20</v>
      </c>
      <c r="N12" s="44">
        <v>22</v>
      </c>
      <c r="O12" s="44"/>
      <c r="P12" s="45">
        <f>IF(O12="",90*D13+60*E13+25*F13+15*G13+10*H13+10*I13+30*(J13+K13+L13)+M12+N12,"NKL")</f>
        <v>42</v>
      </c>
      <c r="Q12" s="46">
        <f>IF(P12&lt;&gt;"",IF(ISNUMBER(P12),MAX(1000*(($C$3+$C$4-P12)/$C$3),1),0))</f>
        <v>976.1904761904761</v>
      </c>
    </row>
    <row r="13" spans="1:17" ht="15.75" customHeight="1">
      <c r="A13" s="40"/>
      <c r="B13" s="83"/>
      <c r="C13" s="8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46"/>
    </row>
    <row r="14" spans="1:17" ht="15.75" customHeight="1">
      <c r="A14" s="84">
        <f>dane_TZ!A5</f>
        <v>203</v>
      </c>
      <c r="B14" s="85" t="str">
        <f>dane_TZ!B5</f>
        <v>Mariusz Góraj
Robert Chruślak</v>
      </c>
      <c r="C14" s="85" t="str">
        <f>dane_TZ!C5</f>
        <v>Skróty Radom</v>
      </c>
      <c r="D14" s="69"/>
      <c r="E14" s="69"/>
      <c r="F14" s="69"/>
      <c r="G14" s="69"/>
      <c r="H14" s="69"/>
      <c r="I14" s="69"/>
      <c r="J14" s="69"/>
      <c r="K14" s="69"/>
      <c r="L14" s="69"/>
      <c r="M14" s="50">
        <v>20</v>
      </c>
      <c r="N14" s="50">
        <v>130</v>
      </c>
      <c r="O14" s="50"/>
      <c r="P14" s="51">
        <f>IF(O14="",90*D15+60*E15+25*F15+15*G15+10*H15+10*I15+30*(J15+K15+L15)+M14+N14,"NKL")</f>
        <v>150</v>
      </c>
      <c r="Q14" s="52">
        <f>IF(P14&lt;&gt;"",IF(ISNUMBER(P14),MAX(1000*(($C$3+$C$4-P14)/$C$3),1),0))</f>
        <v>890.4761904761904</v>
      </c>
    </row>
    <row r="15" spans="1:17" ht="15.75" customHeight="1">
      <c r="A15" s="84"/>
      <c r="B15" s="85"/>
      <c r="C15" s="85"/>
      <c r="D15" s="70"/>
      <c r="E15" s="70"/>
      <c r="F15" s="70"/>
      <c r="G15" s="70"/>
      <c r="H15" s="70"/>
      <c r="I15" s="70"/>
      <c r="J15" s="70"/>
      <c r="K15" s="70"/>
      <c r="L15" s="70"/>
      <c r="M15" s="50"/>
      <c r="N15" s="50"/>
      <c r="O15" s="50"/>
      <c r="P15" s="51"/>
      <c r="Q15" s="52"/>
    </row>
    <row r="16" spans="1:17" ht="15.75" customHeight="1">
      <c r="A16" s="40">
        <f>dane_TZ!A6</f>
        <v>204</v>
      </c>
      <c r="B16" s="83" t="str">
        <f>dane_TZ!B6</f>
        <v>Barbara Szmyt
Dariusz Walczyna</v>
      </c>
      <c r="C16" s="83" t="str">
        <f>dane_TZ!C6</f>
        <v>Stowarzysze Warszawa</v>
      </c>
      <c r="D16" s="44"/>
      <c r="E16" s="44"/>
      <c r="F16" s="44"/>
      <c r="G16" s="44"/>
      <c r="H16" s="44"/>
      <c r="I16" s="44"/>
      <c r="J16" s="44"/>
      <c r="K16" s="44"/>
      <c r="L16" s="44"/>
      <c r="M16" s="44">
        <v>10</v>
      </c>
      <c r="N16" s="44">
        <v>4</v>
      </c>
      <c r="O16" s="44"/>
      <c r="P16" s="45">
        <f>IF(O16="",90*D17+60*E17+25*F17+15*G17+10*H17+10*I17+30*(J17+K17+L17)+M16+N16,"NKL")</f>
        <v>194</v>
      </c>
      <c r="Q16" s="46">
        <f>IF(P16&lt;&gt;"",IF(ISNUMBER(P16),MAX(1000*(($C$3+$C$4-P16)/$C$3),1),0))</f>
        <v>855.5555555555555</v>
      </c>
    </row>
    <row r="17" spans="1:17" ht="15.75" customHeight="1">
      <c r="A17" s="40"/>
      <c r="B17" s="83"/>
      <c r="C17" s="83"/>
      <c r="D17" s="44">
        <v>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</row>
    <row r="18" spans="1:17" ht="15.75" customHeight="1">
      <c r="A18" s="84">
        <f>dane_TZ!A7</f>
        <v>205</v>
      </c>
      <c r="B18" s="85" t="str">
        <f>dane_TZ!B7</f>
        <v>Anna Natuszewicz
Kamil Herman</v>
      </c>
      <c r="C18" s="85" t="str">
        <f>dane_TZ!C7</f>
        <v>Stowarzysze Warszawa</v>
      </c>
      <c r="D18" s="69"/>
      <c r="E18" s="69"/>
      <c r="F18" s="69"/>
      <c r="G18" s="69"/>
      <c r="H18" s="69"/>
      <c r="I18" s="69"/>
      <c r="J18" s="69"/>
      <c r="K18" s="69"/>
      <c r="L18" s="69"/>
      <c r="M18" s="50">
        <v>20</v>
      </c>
      <c r="N18" s="50">
        <v>11</v>
      </c>
      <c r="O18" s="50"/>
      <c r="P18" s="51">
        <f>IF(O18="",90*D19+60*E19+25*F19+15*G19+10*H19+10*I19+30*(J19+K19+L19)+M18+N18,"NKL")</f>
        <v>211</v>
      </c>
      <c r="Q18" s="52">
        <f>IF(P18&lt;&gt;"",IF(ISNUMBER(P18),MAX(1000*(($C$3+$C$4-P18)/$C$3),1),0))</f>
        <v>842.063492063492</v>
      </c>
    </row>
    <row r="19" spans="1:17" ht="15.75" customHeight="1">
      <c r="A19" s="84"/>
      <c r="B19" s="85"/>
      <c r="C19" s="85"/>
      <c r="D19" s="70">
        <v>2</v>
      </c>
      <c r="E19" s="70"/>
      <c r="F19" s="70"/>
      <c r="G19" s="70"/>
      <c r="H19" s="70"/>
      <c r="I19" s="70"/>
      <c r="J19" s="70"/>
      <c r="K19" s="70"/>
      <c r="L19" s="70"/>
      <c r="M19" s="50"/>
      <c r="N19" s="50"/>
      <c r="O19" s="50"/>
      <c r="P19" s="51"/>
      <c r="Q19" s="52"/>
    </row>
    <row r="20" spans="1:17" ht="15.75" customHeight="1">
      <c r="A20" s="40">
        <f>dane_TZ!A8</f>
        <v>206</v>
      </c>
      <c r="B20" s="83" t="str">
        <f>dane_TZ!B8</f>
        <v>Marcin Szajko
Adam Krochmal</v>
      </c>
      <c r="C20" s="83" t="str">
        <f>dane_TZ!C8</f>
        <v>Stowarzysze Warszawa</v>
      </c>
      <c r="D20" s="44"/>
      <c r="E20" s="44"/>
      <c r="F20" s="44"/>
      <c r="G20" s="44"/>
      <c r="H20" s="44"/>
      <c r="I20" s="44"/>
      <c r="J20" s="44"/>
      <c r="K20" s="44"/>
      <c r="L20" s="44"/>
      <c r="M20" s="44">
        <v>10</v>
      </c>
      <c r="N20" s="44">
        <v>12</v>
      </c>
      <c r="O20" s="44"/>
      <c r="P20" s="45">
        <f>IF(O20="",90*D21+60*E21+25*F21+15*G21+10*H21+10*I21+30*(J21+K21+L21)+M20+N20,"NKL")</f>
        <v>22</v>
      </c>
      <c r="Q20" s="46">
        <f>IF(P20&lt;&gt;"",IF(ISNUMBER(P20),MAX(1000*(($C$3+$C$4-P20)/$C$3),1),0))</f>
        <v>992.063492063492</v>
      </c>
    </row>
    <row r="21" spans="1:17" ht="15.75" customHeight="1">
      <c r="A21" s="40"/>
      <c r="B21" s="83"/>
      <c r="C21" s="8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6"/>
    </row>
    <row r="22" spans="1:17" ht="15.75" customHeight="1">
      <c r="A22" s="84">
        <f>dane_TZ!A9</f>
        <v>208</v>
      </c>
      <c r="B22" s="85" t="str">
        <f>dane_TZ!B9</f>
        <v>Kazimierz Makieła</v>
      </c>
      <c r="C22" s="85" t="str">
        <f>dane_TZ!C9</f>
        <v>Warszawa</v>
      </c>
      <c r="D22" s="69"/>
      <c r="E22" s="69"/>
      <c r="F22" s="69"/>
      <c r="G22" s="69"/>
      <c r="H22" s="69"/>
      <c r="I22" s="69"/>
      <c r="J22" s="69"/>
      <c r="K22" s="69"/>
      <c r="L22" s="69"/>
      <c r="M22" s="50">
        <v>20</v>
      </c>
      <c r="N22" s="50">
        <v>7</v>
      </c>
      <c r="O22" s="50"/>
      <c r="P22" s="51">
        <f>IF(O22="",90*D23+60*E23+25*F23+15*G23+10*H23+10*I23+30*(J23+K23+L23)+M22+N22,"NKL")</f>
        <v>27</v>
      </c>
      <c r="Q22" s="52">
        <f>IF(P22&lt;&gt;"",IF(ISNUMBER(P22),MAX(1000*(($C$3+$C$4-P22)/$C$3),1),0))</f>
        <v>988.0952380952382</v>
      </c>
    </row>
    <row r="23" spans="1:17" ht="15.75" customHeight="1">
      <c r="A23" s="84"/>
      <c r="B23" s="85"/>
      <c r="C23" s="85"/>
      <c r="D23" s="70"/>
      <c r="E23" s="70"/>
      <c r="F23" s="70"/>
      <c r="G23" s="70"/>
      <c r="H23" s="70"/>
      <c r="I23" s="70"/>
      <c r="J23" s="70"/>
      <c r="K23" s="70"/>
      <c r="L23" s="70"/>
      <c r="M23" s="50"/>
      <c r="N23" s="50"/>
      <c r="O23" s="50"/>
      <c r="P23" s="51"/>
      <c r="Q23" s="52"/>
    </row>
    <row r="24" spans="1:17" ht="15" customHeight="1">
      <c r="A24" s="40">
        <f>dane_TZ!A10</f>
        <v>209</v>
      </c>
      <c r="B24" s="83" t="str">
        <f>dane_TZ!B10</f>
        <v>Mateusz Sieńko
Frynas Sławomir</v>
      </c>
      <c r="C24" s="83" t="str">
        <f>dane_TZ!C10</f>
        <v>Lublin</v>
      </c>
      <c r="D24" s="44"/>
      <c r="E24" s="44"/>
      <c r="F24" s="44"/>
      <c r="G24" s="44"/>
      <c r="H24" s="44"/>
      <c r="I24" s="44"/>
      <c r="J24" s="44"/>
      <c r="K24" s="44"/>
      <c r="L24" s="44"/>
      <c r="M24" s="44">
        <v>20</v>
      </c>
      <c r="N24" s="44">
        <v>19</v>
      </c>
      <c r="O24" s="44"/>
      <c r="P24" s="45">
        <f>IF(O24="",90*D25+60*E25+25*F25+15*G25+10*H25+10*I25+30*(J25+K25+L25)+M24+N24,"NKL")</f>
        <v>39</v>
      </c>
      <c r="Q24" s="46">
        <f>IF(P24&lt;&gt;"",IF(ISNUMBER(P24),MAX(1000*(($C$3+$C$4-P24)/$C$3),1),0))</f>
        <v>978.5714285714286</v>
      </c>
    </row>
    <row r="25" spans="1:17" ht="15.75" customHeight="1">
      <c r="A25" s="40"/>
      <c r="B25" s="83"/>
      <c r="C25" s="8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46"/>
    </row>
  </sheetData>
  <sheetProtection selectLockedCells="1" selectUnlockedCells="1"/>
  <mergeCells count="73">
    <mergeCell ref="F2:I2"/>
    <mergeCell ref="A8:A9"/>
    <mergeCell ref="B8:B9"/>
    <mergeCell ref="C8:C9"/>
    <mergeCell ref="M8:M9"/>
    <mergeCell ref="N8:N9"/>
    <mergeCell ref="O8:O9"/>
    <mergeCell ref="P8:P9"/>
    <mergeCell ref="Q8:Q9"/>
    <mergeCell ref="A10:A11"/>
    <mergeCell ref="B10:B11"/>
    <mergeCell ref="C10:C11"/>
    <mergeCell ref="M10:M11"/>
    <mergeCell ref="N10:N11"/>
    <mergeCell ref="O10:O11"/>
    <mergeCell ref="P10:P11"/>
    <mergeCell ref="Q10:Q11"/>
    <mergeCell ref="A12:A13"/>
    <mergeCell ref="B12:B13"/>
    <mergeCell ref="C12:C13"/>
    <mergeCell ref="M12:M13"/>
    <mergeCell ref="N12:N13"/>
    <mergeCell ref="O12:O13"/>
    <mergeCell ref="P12:P13"/>
    <mergeCell ref="Q12:Q13"/>
    <mergeCell ref="A14:A15"/>
    <mergeCell ref="B14:B15"/>
    <mergeCell ref="C14:C15"/>
    <mergeCell ref="M14:M15"/>
    <mergeCell ref="N14:N15"/>
    <mergeCell ref="O14:O15"/>
    <mergeCell ref="P14:P15"/>
    <mergeCell ref="Q14:Q15"/>
    <mergeCell ref="A16:A17"/>
    <mergeCell ref="B16:B17"/>
    <mergeCell ref="C16:C17"/>
    <mergeCell ref="M16:M17"/>
    <mergeCell ref="N16:N17"/>
    <mergeCell ref="O16:O17"/>
    <mergeCell ref="P16:P17"/>
    <mergeCell ref="Q16:Q17"/>
    <mergeCell ref="A18:A19"/>
    <mergeCell ref="B18:B19"/>
    <mergeCell ref="C18:C19"/>
    <mergeCell ref="M18:M19"/>
    <mergeCell ref="N18:N19"/>
    <mergeCell ref="O18:O19"/>
    <mergeCell ref="P18:P19"/>
    <mergeCell ref="Q18:Q19"/>
    <mergeCell ref="A20:A21"/>
    <mergeCell ref="B20:B21"/>
    <mergeCell ref="C20:C21"/>
    <mergeCell ref="M20:M21"/>
    <mergeCell ref="N20:N21"/>
    <mergeCell ref="O20:O21"/>
    <mergeCell ref="P20:P21"/>
    <mergeCell ref="Q20:Q21"/>
    <mergeCell ref="A22:A23"/>
    <mergeCell ref="B22:B23"/>
    <mergeCell ref="C22:C23"/>
    <mergeCell ref="M22:M23"/>
    <mergeCell ref="N22:N23"/>
    <mergeCell ref="O22:O23"/>
    <mergeCell ref="P22:P23"/>
    <mergeCell ref="Q22:Q23"/>
    <mergeCell ref="A24:A25"/>
    <mergeCell ref="B24:B25"/>
    <mergeCell ref="C24:C25"/>
    <mergeCell ref="M24:M25"/>
    <mergeCell ref="N24:N25"/>
    <mergeCell ref="O24:O25"/>
    <mergeCell ref="P24:P25"/>
    <mergeCell ref="Q24:Q25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workbookViewId="0" topLeftCell="A1">
      <selection activeCell="C30" sqref="C30"/>
    </sheetView>
  </sheetViews>
  <sheetFormatPr defaultColWidth="9.140625" defaultRowHeight="15" customHeight="1"/>
  <cols>
    <col min="1" max="1" width="7.140625" style="29" customWidth="1"/>
    <col min="2" max="2" width="26.140625" style="29" customWidth="1"/>
    <col min="3" max="3" width="17.140625" style="29" customWidth="1"/>
    <col min="4" max="4" width="8.57421875" style="29" customWidth="1"/>
    <col min="5" max="5" width="6.57421875" style="29" customWidth="1"/>
    <col min="6" max="6" width="9.28125" style="29" customWidth="1"/>
    <col min="7" max="7" width="6.421875" style="29" customWidth="1"/>
    <col min="8" max="8" width="9.28125" style="29" customWidth="1"/>
    <col min="9" max="9" width="6.57421875" style="29" customWidth="1"/>
    <col min="10" max="10" width="7.7109375" style="29" customWidth="1"/>
    <col min="11" max="11" width="8.00390625" style="29" customWidth="1"/>
    <col min="12" max="12" width="7.00390625" style="29" customWidth="1"/>
    <col min="13" max="14" width="9.28125" style="29" customWidth="1"/>
    <col min="15" max="15" width="9.140625" style="29" customWidth="1"/>
    <col min="16" max="16" width="10.57421875" style="29" customWidth="1"/>
    <col min="17" max="17" width="11.140625" style="29" customWidth="1"/>
    <col min="18" max="16384" width="9.140625" style="29" customWidth="1"/>
  </cols>
  <sheetData>
    <row r="1" spans="3:15" ht="15" customHeight="1">
      <c r="C1" s="30"/>
      <c r="E1" s="30"/>
      <c r="G1" s="30"/>
      <c r="N1" s="31"/>
      <c r="O1" s="31"/>
    </row>
    <row r="2" spans="1:15" ht="18" customHeight="1">
      <c r="A2" s="32"/>
      <c r="B2" s="33"/>
      <c r="C2" s="34"/>
      <c r="E2" s="35"/>
      <c r="F2" s="86" t="s">
        <v>116</v>
      </c>
      <c r="G2" s="86"/>
      <c r="H2" s="86"/>
      <c r="I2" s="86"/>
      <c r="N2" s="31"/>
      <c r="O2" s="31"/>
    </row>
    <row r="3" spans="1:15" ht="18" customHeight="1">
      <c r="A3" s="32"/>
      <c r="B3" s="33" t="s">
        <v>49</v>
      </c>
      <c r="C3" s="34">
        <f>_TSE5</f>
        <v>1500</v>
      </c>
      <c r="D3" s="35"/>
      <c r="E3" s="35"/>
      <c r="F3" s="87" t="s">
        <v>114</v>
      </c>
      <c r="G3" s="87"/>
      <c r="H3" s="87"/>
      <c r="I3" s="82"/>
      <c r="N3" s="31"/>
      <c r="O3" s="31"/>
    </row>
    <row r="4" spans="1:15" ht="15" customHeight="1">
      <c r="A4" s="32"/>
      <c r="B4" s="33" t="s">
        <v>51</v>
      </c>
      <c r="C4" s="34">
        <f>MIN(P:P)</f>
        <v>0</v>
      </c>
      <c r="D4" s="35"/>
      <c r="E4" s="35"/>
      <c r="N4" s="31"/>
      <c r="O4" s="31"/>
    </row>
    <row r="5" spans="1:15" ht="15" customHeight="1">
      <c r="A5" s="34" t="s">
        <v>52</v>
      </c>
      <c r="B5" s="34"/>
      <c r="C5" s="34"/>
      <c r="D5" s="35"/>
      <c r="E5" s="35"/>
      <c r="N5" s="31"/>
      <c r="O5" s="31"/>
    </row>
    <row r="6" spans="1:15" ht="16.5" customHeight="1">
      <c r="A6" s="36"/>
      <c r="B6" s="88"/>
      <c r="C6" s="88"/>
      <c r="N6" s="31"/>
      <c r="O6" s="31"/>
    </row>
    <row r="7" spans="1:17" ht="15.75" customHeight="1">
      <c r="A7" s="37" t="s">
        <v>117</v>
      </c>
      <c r="B7" s="38" t="s">
        <v>54</v>
      </c>
      <c r="C7" s="39" t="s">
        <v>55</v>
      </c>
      <c r="D7" s="38" t="s">
        <v>56</v>
      </c>
      <c r="E7" s="38" t="s">
        <v>57</v>
      </c>
      <c r="F7" s="38" t="s">
        <v>58</v>
      </c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9" t="s">
        <v>65</v>
      </c>
      <c r="N7" s="38" t="s">
        <v>66</v>
      </c>
      <c r="O7" s="38" t="s">
        <v>67</v>
      </c>
      <c r="P7" s="38" t="s">
        <v>68</v>
      </c>
      <c r="Q7" s="38" t="s">
        <v>69</v>
      </c>
    </row>
    <row r="8" spans="1:17" ht="15" customHeight="1">
      <c r="A8" s="40">
        <f>dane_TZ!A2</f>
        <v>200</v>
      </c>
      <c r="B8" s="83" t="str">
        <f>dane_TZ!B2</f>
        <v>Andrzej Krochmal
Tomasz Gronau</v>
      </c>
      <c r="C8" s="83" t="str">
        <f>dane_TZ!C2</f>
        <v>HKT "TREP" PTTK Warszawa Praga Płd.</v>
      </c>
      <c r="D8" s="44"/>
      <c r="E8" s="44"/>
      <c r="F8" s="44"/>
      <c r="G8" s="44"/>
      <c r="H8" s="44"/>
      <c r="I8" s="44"/>
      <c r="J8" s="44"/>
      <c r="K8" s="44"/>
      <c r="L8" s="44"/>
      <c r="M8" s="44">
        <v>10</v>
      </c>
      <c r="N8" s="44"/>
      <c r="O8" s="44"/>
      <c r="P8" s="45">
        <f>IF(O8="",90*D9+60*E9+25*F9+15*G9+10*H9+10*I9+30*(J9+K9+L9)+M8+N8,"NKL")</f>
        <v>10</v>
      </c>
      <c r="Q8" s="46">
        <f>IF(P8&lt;&gt;"",IF(ISNUMBER(P8),MAX(1000*(($C$3+$C$4-P8)/$C$3),1),0))</f>
        <v>993.3333333333333</v>
      </c>
    </row>
    <row r="9" spans="1:17" ht="15.75" customHeight="1">
      <c r="A9" s="40"/>
      <c r="B9" s="83"/>
      <c r="C9" s="8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6"/>
    </row>
    <row r="10" spans="1:17" ht="15" customHeight="1">
      <c r="A10" s="84">
        <f>dane_TZ!A3</f>
        <v>201</v>
      </c>
      <c r="B10" s="85" t="str">
        <f>dane_TZ!B3</f>
        <v>Joanna Puternicka
Wieszaczewski Jacek</v>
      </c>
      <c r="C10" s="85" t="str">
        <f>dane_TZ!C3</f>
        <v>Wrocław</v>
      </c>
      <c r="D10" s="69"/>
      <c r="E10" s="69"/>
      <c r="F10" s="69"/>
      <c r="G10" s="69"/>
      <c r="H10" s="69"/>
      <c r="I10" s="69"/>
      <c r="J10" s="69"/>
      <c r="K10" s="69"/>
      <c r="L10" s="69"/>
      <c r="M10" s="50"/>
      <c r="N10" s="50"/>
      <c r="O10" s="50"/>
      <c r="P10" s="51">
        <f aca="true" t="shared" si="0" ref="P10">IF(O10="",90*D11+60*E11+25*F11+15*G11+10*H11+10*I11+30*(J11+K11+L11)+M10+N10,"NKL")</f>
        <v>0</v>
      </c>
      <c r="Q10" s="52">
        <f aca="true" t="shared" si="1" ref="Q10">IF(P10&lt;&gt;"",IF(ISNUMBER(P10),MAX(1000*(($C$3+$C$4-P10)/$C$3),1),0))</f>
        <v>1000</v>
      </c>
    </row>
    <row r="11" spans="1:17" ht="15.75" customHeight="1">
      <c r="A11" s="84"/>
      <c r="B11" s="85"/>
      <c r="C11" s="85"/>
      <c r="D11" s="70"/>
      <c r="E11" s="70"/>
      <c r="F11" s="70"/>
      <c r="G11" s="70"/>
      <c r="H11" s="70"/>
      <c r="I11" s="70"/>
      <c r="J11" s="70"/>
      <c r="K11" s="70"/>
      <c r="L11" s="70"/>
      <c r="M11" s="50"/>
      <c r="N11" s="50"/>
      <c r="O11" s="50"/>
      <c r="P11" s="51"/>
      <c r="Q11" s="52"/>
    </row>
    <row r="12" spans="1:17" ht="15" customHeight="1">
      <c r="A12" s="40">
        <f>dane_TZ!A4</f>
        <v>202</v>
      </c>
      <c r="B12" s="83" t="str">
        <f>dane_TZ!B4</f>
        <v>Otap Sławomir</v>
      </c>
      <c r="C12" s="83" t="str">
        <f>dane_TZ!C4</f>
        <v>Warszawa</v>
      </c>
      <c r="D12" s="44"/>
      <c r="E12" s="44"/>
      <c r="F12" s="44"/>
      <c r="G12" s="44"/>
      <c r="H12" s="44">
        <v>4</v>
      </c>
      <c r="I12" s="44" t="s">
        <v>133</v>
      </c>
      <c r="J12" s="44" t="s">
        <v>134</v>
      </c>
      <c r="K12" s="44"/>
      <c r="L12" s="44"/>
      <c r="M12" s="44">
        <v>10</v>
      </c>
      <c r="N12" s="44">
        <v>11</v>
      </c>
      <c r="O12" s="44"/>
      <c r="P12" s="45">
        <f aca="true" t="shared" si="2" ref="P12">IF(O12="",90*D13+60*E13+25*F13+15*G13+10*H13+10*I13+30*(J13+K13+L13)+M12+N12,"NKL")</f>
        <v>251</v>
      </c>
      <c r="Q12" s="46">
        <f aca="true" t="shared" si="3" ref="Q12">IF(P12&lt;&gt;"",IF(ISNUMBER(P12),MAX(1000*(($C$3+$C$4-P12)/$C$3),1),0))</f>
        <v>832.6666666666666</v>
      </c>
    </row>
    <row r="13" spans="1:17" ht="15.75" customHeight="1">
      <c r="A13" s="40"/>
      <c r="B13" s="83"/>
      <c r="C13" s="83"/>
      <c r="D13" s="44">
        <v>1</v>
      </c>
      <c r="E13" s="44">
        <v>1</v>
      </c>
      <c r="F13" s="44"/>
      <c r="G13" s="44"/>
      <c r="H13" s="44">
        <v>1</v>
      </c>
      <c r="I13" s="44">
        <v>4</v>
      </c>
      <c r="J13" s="44">
        <v>1</v>
      </c>
      <c r="K13" s="44"/>
      <c r="L13" s="44"/>
      <c r="M13" s="44"/>
      <c r="N13" s="44"/>
      <c r="O13" s="44"/>
      <c r="P13" s="45"/>
      <c r="Q13" s="46"/>
    </row>
    <row r="14" spans="1:17" ht="15" customHeight="1">
      <c r="A14" s="84">
        <f>dane_TZ!A5</f>
        <v>203</v>
      </c>
      <c r="B14" s="85" t="str">
        <f>dane_TZ!B5</f>
        <v>Mariusz Góraj
Robert Chruślak</v>
      </c>
      <c r="C14" s="85" t="str">
        <f>dane_TZ!C5</f>
        <v>Skróty Radom</v>
      </c>
      <c r="D14" s="69"/>
      <c r="E14" s="69"/>
      <c r="F14" s="69"/>
      <c r="G14" s="69"/>
      <c r="H14" s="69"/>
      <c r="I14" s="69" t="s">
        <v>135</v>
      </c>
      <c r="J14" s="69"/>
      <c r="K14" s="69"/>
      <c r="L14" s="69"/>
      <c r="M14" s="50"/>
      <c r="N14" s="50">
        <v>365</v>
      </c>
      <c r="O14" s="50"/>
      <c r="P14" s="51">
        <f aca="true" t="shared" si="4" ref="P14">IF(O14="",90*D15+60*E15+25*F15+15*G15+10*H15+10*I15+30*(J15+K15+L15)+M14+N14,"NKL")</f>
        <v>575</v>
      </c>
      <c r="Q14" s="52">
        <f aca="true" t="shared" si="5" ref="Q14">IF(P14&lt;&gt;"",IF(ISNUMBER(P14),MAX(1000*(($C$3+$C$4-P14)/$C$3),1),0))</f>
        <v>616.6666666666667</v>
      </c>
    </row>
    <row r="15" spans="1:17" ht="15.75" customHeight="1">
      <c r="A15" s="84"/>
      <c r="B15" s="85"/>
      <c r="C15" s="85"/>
      <c r="D15" s="70">
        <v>1</v>
      </c>
      <c r="E15" s="70">
        <v>1</v>
      </c>
      <c r="F15" s="70"/>
      <c r="G15" s="70"/>
      <c r="H15" s="70"/>
      <c r="I15" s="70">
        <v>3</v>
      </c>
      <c r="J15" s="70">
        <v>1</v>
      </c>
      <c r="K15" s="70"/>
      <c r="L15" s="70"/>
      <c r="M15" s="50"/>
      <c r="N15" s="50"/>
      <c r="O15" s="50"/>
      <c r="P15" s="51"/>
      <c r="Q15" s="52"/>
    </row>
    <row r="16" spans="1:17" ht="15" customHeight="1">
      <c r="A16" s="40">
        <f>dane_TZ!A6</f>
        <v>204</v>
      </c>
      <c r="B16" s="83" t="str">
        <f>dane_TZ!B6</f>
        <v>Barbara Szmyt
Dariusz Walczyna</v>
      </c>
      <c r="C16" s="83" t="str">
        <f>dane_TZ!C6</f>
        <v>Stowarzysze Warszawa</v>
      </c>
      <c r="D16" s="44"/>
      <c r="E16" s="44"/>
      <c r="F16" s="44"/>
      <c r="G16" s="44"/>
      <c r="H16" s="44"/>
      <c r="I16" s="44">
        <v>4</v>
      </c>
      <c r="J16" s="44" t="s">
        <v>134</v>
      </c>
      <c r="K16" s="44"/>
      <c r="L16" s="44"/>
      <c r="M16" s="44"/>
      <c r="N16" s="44">
        <v>23</v>
      </c>
      <c r="O16" s="44"/>
      <c r="P16" s="45">
        <f aca="true" t="shared" si="6" ref="P16">IF(O16="",90*D17+60*E17+25*F17+15*G17+10*H17+10*I17+30*(J17+K17+L17)+M16+N16,"NKL")</f>
        <v>213</v>
      </c>
      <c r="Q16" s="46">
        <f aca="true" t="shared" si="7" ref="Q16">IF(P16&lt;&gt;"",IF(ISNUMBER(P16),MAX(1000*(($C$3+$C$4-P16)/$C$3),1),0))</f>
        <v>858</v>
      </c>
    </row>
    <row r="17" spans="1:17" ht="15.75" customHeight="1">
      <c r="A17" s="40"/>
      <c r="B17" s="83"/>
      <c r="C17" s="83"/>
      <c r="D17" s="44">
        <v>1</v>
      </c>
      <c r="E17" s="44">
        <v>1</v>
      </c>
      <c r="F17" s="44"/>
      <c r="G17" s="44"/>
      <c r="H17" s="44"/>
      <c r="I17" s="44">
        <v>1</v>
      </c>
      <c r="J17" s="44">
        <v>1</v>
      </c>
      <c r="K17" s="44"/>
      <c r="L17" s="44"/>
      <c r="M17" s="44"/>
      <c r="N17" s="44"/>
      <c r="O17" s="44"/>
      <c r="P17" s="45"/>
      <c r="Q17" s="46"/>
    </row>
    <row r="18" spans="1:17" ht="15" customHeight="1">
      <c r="A18" s="84">
        <f>dane_TZ!A7</f>
        <v>205</v>
      </c>
      <c r="B18" s="85" t="str">
        <f>dane_TZ!B7</f>
        <v>Anna Natuszewicz
Kamil Herman</v>
      </c>
      <c r="C18" s="85" t="str">
        <f>dane_TZ!C7</f>
        <v>Stowarzysze Warszawa</v>
      </c>
      <c r="D18" s="69"/>
      <c r="E18" s="69"/>
      <c r="F18" s="69"/>
      <c r="G18" s="69"/>
      <c r="H18" s="69"/>
      <c r="I18" s="69">
        <v>8.4</v>
      </c>
      <c r="J18" s="69" t="s">
        <v>134</v>
      </c>
      <c r="K18" s="69"/>
      <c r="L18" s="69"/>
      <c r="M18" s="50"/>
      <c r="N18" s="50">
        <v>29</v>
      </c>
      <c r="O18" s="50"/>
      <c r="P18" s="51">
        <f aca="true" t="shared" si="8" ref="P18">IF(O18="",90*D19+60*E19+25*F19+15*G19+10*H19+10*I19+30*(J19+K19+L19)+M18+N18,"NKL")</f>
        <v>229</v>
      </c>
      <c r="Q18" s="52">
        <f aca="true" t="shared" si="9" ref="Q18">IF(P18&lt;&gt;"",IF(ISNUMBER(P18),MAX(1000*(($C$3+$C$4-P18)/$C$3),1),0))</f>
        <v>847.3333333333334</v>
      </c>
    </row>
    <row r="19" spans="1:17" ht="15.75" customHeight="1">
      <c r="A19" s="84"/>
      <c r="B19" s="85"/>
      <c r="C19" s="85"/>
      <c r="D19" s="70">
        <v>1</v>
      </c>
      <c r="E19" s="70">
        <v>1</v>
      </c>
      <c r="F19" s="70"/>
      <c r="G19" s="70"/>
      <c r="H19" s="70"/>
      <c r="I19" s="70">
        <v>2</v>
      </c>
      <c r="J19" s="70">
        <v>1</v>
      </c>
      <c r="K19" s="70"/>
      <c r="L19" s="70"/>
      <c r="M19" s="50"/>
      <c r="N19" s="50"/>
      <c r="O19" s="50"/>
      <c r="P19" s="51"/>
      <c r="Q19" s="52"/>
    </row>
    <row r="20" spans="1:17" ht="15" customHeight="1">
      <c r="A20" s="40">
        <f>dane_TZ!A8</f>
        <v>206</v>
      </c>
      <c r="B20" s="83" t="str">
        <f>dane_TZ!B8</f>
        <v>Marcin Szajko
Adam Krochmal</v>
      </c>
      <c r="C20" s="83" t="str">
        <f>dane_TZ!C8</f>
        <v>Stowarzysze Warszawa</v>
      </c>
      <c r="D20" s="44"/>
      <c r="E20" s="44"/>
      <c r="F20" s="44">
        <v>4</v>
      </c>
      <c r="G20" s="44"/>
      <c r="H20" s="44"/>
      <c r="I20" s="44">
        <v>4</v>
      </c>
      <c r="J20" s="44"/>
      <c r="K20" s="44"/>
      <c r="L20" s="44"/>
      <c r="M20" s="44"/>
      <c r="N20" s="44">
        <v>29</v>
      </c>
      <c r="O20" s="44"/>
      <c r="P20" s="45">
        <f aca="true" t="shared" si="10" ref="P20">IF(O20="",90*D21+60*E21+25*F21+15*G21+10*H21+10*I21+30*(J21+K21+L21)+M20+N20,"NKL")</f>
        <v>544</v>
      </c>
      <c r="Q20" s="46">
        <f aca="true" t="shared" si="11" ref="Q20">IF(P20&lt;&gt;"",IF(ISNUMBER(P20),MAX(1000*(($C$3+$C$4-P20)/$C$3),1),0))</f>
        <v>637.3333333333333</v>
      </c>
    </row>
    <row r="21" spans="1:17" ht="15.75" customHeight="1">
      <c r="A21" s="40"/>
      <c r="B21" s="83"/>
      <c r="C21" s="83"/>
      <c r="D21" s="44">
        <v>4</v>
      </c>
      <c r="E21" s="44">
        <v>1</v>
      </c>
      <c r="F21" s="44">
        <v>1</v>
      </c>
      <c r="G21" s="44"/>
      <c r="H21" s="44"/>
      <c r="I21" s="44">
        <v>1</v>
      </c>
      <c r="J21" s="44">
        <v>2</v>
      </c>
      <c r="K21" s="44"/>
      <c r="L21" s="44"/>
      <c r="M21" s="44"/>
      <c r="N21" s="44"/>
      <c r="O21" s="44"/>
      <c r="P21" s="45"/>
      <c r="Q21" s="46"/>
    </row>
    <row r="22" spans="1:17" ht="15" customHeight="1">
      <c r="A22" s="84">
        <f>dane_TZ!A9</f>
        <v>208</v>
      </c>
      <c r="B22" s="85" t="str">
        <f>dane_TZ!B9</f>
        <v>Kazimierz Makieła</v>
      </c>
      <c r="C22" s="85" t="str">
        <f>dane_TZ!C9</f>
        <v>Warszawa</v>
      </c>
      <c r="D22" s="69"/>
      <c r="E22" s="69"/>
      <c r="F22" s="69"/>
      <c r="G22" s="69"/>
      <c r="H22" s="69"/>
      <c r="I22" s="69" t="s">
        <v>136</v>
      </c>
      <c r="J22" s="69"/>
      <c r="K22" s="69"/>
      <c r="L22" s="69"/>
      <c r="M22" s="50">
        <v>10</v>
      </c>
      <c r="N22" s="50"/>
      <c r="O22" s="50"/>
      <c r="P22" s="51">
        <f aca="true" t="shared" si="12" ref="P22">IF(O22="",90*D23+60*E23+25*F23+15*G23+10*H23+10*I23+30*(J23+K23+L23)+M22+N22,"NKL")</f>
        <v>50</v>
      </c>
      <c r="Q22" s="52">
        <f aca="true" t="shared" si="13" ref="Q22">IF(P22&lt;&gt;"",IF(ISNUMBER(P22),MAX(1000*(($C$3+$C$4-P22)/$C$3),1),0))</f>
        <v>966.6666666666666</v>
      </c>
    </row>
    <row r="23" spans="1:17" ht="15.75" customHeight="1">
      <c r="A23" s="84"/>
      <c r="B23" s="85"/>
      <c r="C23" s="85"/>
      <c r="D23" s="70"/>
      <c r="E23" s="70"/>
      <c r="F23" s="70"/>
      <c r="G23" s="70"/>
      <c r="H23" s="70"/>
      <c r="I23" s="70">
        <v>4</v>
      </c>
      <c r="J23" s="70"/>
      <c r="K23" s="70"/>
      <c r="L23" s="70"/>
      <c r="M23" s="50"/>
      <c r="N23" s="50"/>
      <c r="O23" s="50"/>
      <c r="P23" s="51"/>
      <c r="Q23" s="52"/>
    </row>
    <row r="24" spans="1:17" ht="15" customHeight="1">
      <c r="A24" s="40">
        <f>dane_TZ!A10</f>
        <v>209</v>
      </c>
      <c r="B24" s="83" t="str">
        <f>dane_TZ!B10</f>
        <v>Mateusz Sieńko
Frynas Sławomir</v>
      </c>
      <c r="C24" s="83" t="str">
        <f>dane_TZ!C10</f>
        <v>Lublin</v>
      </c>
      <c r="D24" s="44"/>
      <c r="E24" s="44"/>
      <c r="F24" s="44">
        <v>4</v>
      </c>
      <c r="G24" s="44"/>
      <c r="H24" s="44"/>
      <c r="I24" s="44">
        <v>4</v>
      </c>
      <c r="J24" s="44"/>
      <c r="K24" s="44"/>
      <c r="L24" s="44"/>
      <c r="M24" s="44"/>
      <c r="N24" s="44">
        <v>31</v>
      </c>
      <c r="O24" s="44"/>
      <c r="P24" s="45">
        <f aca="true" t="shared" si="14" ref="P24">IF(O24="",90*D25+60*E25+25*F25+15*G25+10*H25+10*I25+30*(J25+K25+L25)+M24+N24,"NKL")</f>
        <v>486</v>
      </c>
      <c r="Q24" s="46">
        <f aca="true" t="shared" si="15" ref="Q24">IF(P24&lt;&gt;"",IF(ISNUMBER(P24),MAX(1000*(($C$3+$C$4-P24)/$C$3),1),0))</f>
        <v>676</v>
      </c>
    </row>
    <row r="25" spans="1:17" ht="15.75" customHeight="1">
      <c r="A25" s="40"/>
      <c r="B25" s="83"/>
      <c r="C25" s="83"/>
      <c r="D25" s="44">
        <v>4</v>
      </c>
      <c r="E25" s="44"/>
      <c r="F25" s="44">
        <v>1</v>
      </c>
      <c r="G25" s="44"/>
      <c r="H25" s="44"/>
      <c r="I25" s="44">
        <v>1</v>
      </c>
      <c r="J25" s="44">
        <v>2</v>
      </c>
      <c r="K25" s="44"/>
      <c r="L25" s="44"/>
      <c r="M25" s="44"/>
      <c r="N25" s="44"/>
      <c r="O25" s="44"/>
      <c r="P25" s="45"/>
      <c r="Q25" s="46"/>
    </row>
  </sheetData>
  <sheetProtection selectLockedCells="1" selectUnlockedCells="1"/>
  <mergeCells count="73">
    <mergeCell ref="F2:I2"/>
    <mergeCell ref="A8:A9"/>
    <mergeCell ref="B8:B9"/>
    <mergeCell ref="C8:C9"/>
    <mergeCell ref="M8:M9"/>
    <mergeCell ref="N8:N9"/>
    <mergeCell ref="O8:O9"/>
    <mergeCell ref="P8:P9"/>
    <mergeCell ref="Q8:Q9"/>
    <mergeCell ref="A10:A11"/>
    <mergeCell ref="B10:B11"/>
    <mergeCell ref="C10:C11"/>
    <mergeCell ref="M10:M11"/>
    <mergeCell ref="N10:N11"/>
    <mergeCell ref="O10:O11"/>
    <mergeCell ref="P10:P11"/>
    <mergeCell ref="Q10:Q11"/>
    <mergeCell ref="A12:A13"/>
    <mergeCell ref="B12:B13"/>
    <mergeCell ref="C12:C13"/>
    <mergeCell ref="M12:M13"/>
    <mergeCell ref="N12:N13"/>
    <mergeCell ref="O12:O13"/>
    <mergeCell ref="P12:P13"/>
    <mergeCell ref="Q12:Q13"/>
    <mergeCell ref="A14:A15"/>
    <mergeCell ref="B14:B15"/>
    <mergeCell ref="C14:C15"/>
    <mergeCell ref="M14:M15"/>
    <mergeCell ref="N14:N15"/>
    <mergeCell ref="O14:O15"/>
    <mergeCell ref="P14:P15"/>
    <mergeCell ref="Q14:Q15"/>
    <mergeCell ref="A16:A17"/>
    <mergeCell ref="B16:B17"/>
    <mergeCell ref="C16:C17"/>
    <mergeCell ref="M16:M17"/>
    <mergeCell ref="N16:N17"/>
    <mergeCell ref="O16:O17"/>
    <mergeCell ref="P16:P17"/>
    <mergeCell ref="Q16:Q17"/>
    <mergeCell ref="A18:A19"/>
    <mergeCell ref="B18:B19"/>
    <mergeCell ref="C18:C19"/>
    <mergeCell ref="M18:M19"/>
    <mergeCell ref="N18:N19"/>
    <mergeCell ref="O18:O19"/>
    <mergeCell ref="P18:P19"/>
    <mergeCell ref="Q18:Q19"/>
    <mergeCell ref="A20:A21"/>
    <mergeCell ref="B20:B21"/>
    <mergeCell ref="C20:C21"/>
    <mergeCell ref="M20:M21"/>
    <mergeCell ref="N20:N21"/>
    <mergeCell ref="O20:O21"/>
    <mergeCell ref="P20:P21"/>
    <mergeCell ref="Q20:Q21"/>
    <mergeCell ref="A22:A23"/>
    <mergeCell ref="B22:B23"/>
    <mergeCell ref="C22:C23"/>
    <mergeCell ref="M22:M23"/>
    <mergeCell ref="N22:N23"/>
    <mergeCell ref="O22:O23"/>
    <mergeCell ref="P22:P23"/>
    <mergeCell ref="Q22:Q23"/>
    <mergeCell ref="A24:A25"/>
    <mergeCell ref="B24:B25"/>
    <mergeCell ref="C24:C25"/>
    <mergeCell ref="M24:M25"/>
    <mergeCell ref="N24:N25"/>
    <mergeCell ref="O24:O25"/>
    <mergeCell ref="P24:P25"/>
    <mergeCell ref="Q24:Q25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9.28125" style="0" customWidth="1"/>
    <col min="2" max="2" width="37.140625" style="0" customWidth="1"/>
    <col min="3" max="3" width="19.7109375" style="0" customWidth="1"/>
    <col min="4" max="16384" width="8.7109375" style="0" customWidth="1"/>
  </cols>
  <sheetData>
    <row r="1" spans="1:3" ht="25.5" customHeight="1">
      <c r="A1" s="89" t="s">
        <v>137</v>
      </c>
      <c r="B1" s="89" t="s">
        <v>138</v>
      </c>
      <c r="C1" s="89" t="s">
        <v>139</v>
      </c>
    </row>
    <row r="2" spans="1:3" ht="51" customHeight="1">
      <c r="A2" s="90">
        <v>1</v>
      </c>
      <c r="B2" s="90" t="s">
        <v>140</v>
      </c>
      <c r="C2" s="90" t="s">
        <v>47</v>
      </c>
    </row>
    <row r="3" spans="1:3" ht="38.25" customHeight="1">
      <c r="A3" s="90">
        <v>2</v>
      </c>
      <c r="B3" s="90" t="s">
        <v>141</v>
      </c>
      <c r="C3" s="90" t="s">
        <v>47</v>
      </c>
    </row>
    <row r="4" spans="1:3" ht="38.25" customHeight="1">
      <c r="A4" s="90">
        <v>3</v>
      </c>
      <c r="B4" s="90" t="s">
        <v>142</v>
      </c>
      <c r="C4" s="90" t="s">
        <v>47</v>
      </c>
    </row>
    <row r="5" spans="1:3" ht="38.25" customHeight="1">
      <c r="A5" s="90">
        <v>4</v>
      </c>
      <c r="B5" s="90" t="s">
        <v>143</v>
      </c>
      <c r="C5" s="90" t="s">
        <v>47</v>
      </c>
    </row>
    <row r="6" spans="1:3" ht="38.25" customHeight="1">
      <c r="A6" s="90">
        <v>5</v>
      </c>
      <c r="B6" s="90" t="s">
        <v>144</v>
      </c>
      <c r="C6" s="90" t="s">
        <v>47</v>
      </c>
    </row>
    <row r="7" spans="1:3" ht="25.5" customHeight="1">
      <c r="A7" s="90">
        <v>7</v>
      </c>
      <c r="B7" s="90" t="s">
        <v>145</v>
      </c>
      <c r="C7" s="90" t="s">
        <v>146</v>
      </c>
    </row>
    <row r="8" spans="1:3" ht="25.5" customHeight="1">
      <c r="A8" s="90">
        <v>9</v>
      </c>
      <c r="B8" s="90" t="s">
        <v>147</v>
      </c>
      <c r="C8" s="90" t="s">
        <v>148</v>
      </c>
    </row>
    <row r="9" spans="1:3" ht="38.25" customHeight="1">
      <c r="A9" s="90">
        <v>10</v>
      </c>
      <c r="B9" s="90" t="s">
        <v>149</v>
      </c>
      <c r="C9" s="90" t="s">
        <v>150</v>
      </c>
    </row>
    <row r="10" spans="1:3" ht="25.5" customHeight="1">
      <c r="A10" s="90">
        <v>11</v>
      </c>
      <c r="B10" s="90" t="s">
        <v>151</v>
      </c>
      <c r="C10" s="90" t="s">
        <v>152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3" sqref="B3"/>
    </sheetView>
  </sheetViews>
  <sheetFormatPr defaultColWidth="9.140625" defaultRowHeight="12.75" customHeight="1"/>
  <cols>
    <col min="1" max="1" width="10.140625" style="0" customWidth="1"/>
    <col min="2" max="2" width="20.421875" style="0" customWidth="1"/>
    <col min="3" max="3" width="24.00390625" style="0" customWidth="1"/>
    <col min="4" max="16384" width="8.7109375" style="0" customWidth="1"/>
  </cols>
  <sheetData>
    <row r="1" spans="1:3" ht="12.75" customHeight="1">
      <c r="A1" s="91" t="s">
        <v>137</v>
      </c>
      <c r="B1" s="91" t="s">
        <v>138</v>
      </c>
      <c r="C1" s="91" t="s">
        <v>139</v>
      </c>
    </row>
    <row r="2" spans="1:3" ht="25.5" customHeight="1">
      <c r="A2" s="91">
        <v>101</v>
      </c>
      <c r="B2" s="8" t="s">
        <v>153</v>
      </c>
      <c r="C2" s="91" t="s">
        <v>146</v>
      </c>
    </row>
    <row r="3" spans="1:3" ht="25.5" customHeight="1">
      <c r="A3" s="91">
        <v>105</v>
      </c>
      <c r="B3" s="8" t="s">
        <v>154</v>
      </c>
      <c r="C3" s="8" t="s">
        <v>155</v>
      </c>
    </row>
    <row r="4" spans="1:3" ht="25.5" customHeight="1">
      <c r="A4" s="91">
        <v>106</v>
      </c>
      <c r="B4" s="8" t="s">
        <v>156</v>
      </c>
      <c r="C4" s="8" t="s">
        <v>157</v>
      </c>
    </row>
    <row r="5" spans="1:3" ht="38.25" customHeight="1">
      <c r="A5" s="92">
        <v>107</v>
      </c>
      <c r="B5" s="93" t="s">
        <v>158</v>
      </c>
      <c r="C5" s="92" t="s">
        <v>152</v>
      </c>
    </row>
    <row r="6" spans="1:3" ht="25.5" customHeight="1">
      <c r="A6" s="91">
        <v>108</v>
      </c>
      <c r="B6" s="93" t="s">
        <v>159</v>
      </c>
      <c r="C6" s="92" t="s">
        <v>152</v>
      </c>
    </row>
    <row r="7" spans="1:3" ht="25.5" customHeight="1">
      <c r="A7" s="92">
        <v>109</v>
      </c>
      <c r="B7" s="8" t="s">
        <v>160</v>
      </c>
      <c r="C7" s="92" t="s">
        <v>152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2" sqref="A2"/>
    </sheetView>
  </sheetViews>
  <sheetFormatPr defaultColWidth="9.140625" defaultRowHeight="12.75" customHeight="1"/>
  <cols>
    <col min="1" max="1" width="8.7109375" style="0" customWidth="1"/>
    <col min="2" max="2" width="21.421875" style="0" customWidth="1"/>
    <col min="3" max="3" width="20.421875" style="0" customWidth="1"/>
    <col min="4" max="16384" width="8.7109375" style="0" customWidth="1"/>
  </cols>
  <sheetData>
    <row r="1" spans="1:3" ht="12.75" customHeight="1">
      <c r="A1" t="s">
        <v>137</v>
      </c>
      <c r="B1" t="s">
        <v>138</v>
      </c>
      <c r="C1" t="s">
        <v>139</v>
      </c>
    </row>
    <row r="2" spans="1:3" ht="25.5" customHeight="1">
      <c r="A2" s="94">
        <v>200</v>
      </c>
      <c r="B2" s="8" t="s">
        <v>161</v>
      </c>
      <c r="C2" s="95" t="s">
        <v>162</v>
      </c>
    </row>
    <row r="3" spans="1:3" ht="25.5" customHeight="1">
      <c r="A3" s="94">
        <v>201</v>
      </c>
      <c r="B3" s="8" t="s">
        <v>163</v>
      </c>
      <c r="C3" s="96" t="s">
        <v>164</v>
      </c>
    </row>
    <row r="4" spans="1:3" ht="12.75" customHeight="1">
      <c r="A4" s="94">
        <v>202</v>
      </c>
      <c r="B4" s="8" t="s">
        <v>165</v>
      </c>
      <c r="C4" s="91" t="s">
        <v>166</v>
      </c>
    </row>
    <row r="5" spans="1:3" ht="25.5" customHeight="1">
      <c r="A5" s="94">
        <v>203</v>
      </c>
      <c r="B5" s="8" t="s">
        <v>167</v>
      </c>
      <c r="C5" s="91" t="s">
        <v>168</v>
      </c>
    </row>
    <row r="6" spans="1:3" ht="25.5" customHeight="1">
      <c r="A6" s="94">
        <v>204</v>
      </c>
      <c r="B6" s="8" t="s">
        <v>169</v>
      </c>
      <c r="C6" s="8" t="s">
        <v>170</v>
      </c>
    </row>
    <row r="7" spans="1:3" ht="25.5" customHeight="1">
      <c r="A7" s="94">
        <v>205</v>
      </c>
      <c r="B7" s="8" t="s">
        <v>171</v>
      </c>
      <c r="C7" s="8" t="s">
        <v>170</v>
      </c>
    </row>
    <row r="8" spans="1:3" ht="25.5" customHeight="1">
      <c r="A8" s="97">
        <v>206</v>
      </c>
      <c r="B8" s="8" t="s">
        <v>172</v>
      </c>
      <c r="C8" s="8" t="s">
        <v>170</v>
      </c>
    </row>
    <row r="9" spans="1:3" ht="12.75" customHeight="1">
      <c r="A9" s="97">
        <v>208</v>
      </c>
      <c r="B9" s="8" t="s">
        <v>18</v>
      </c>
      <c r="C9" s="8" t="s">
        <v>166</v>
      </c>
    </row>
    <row r="10" spans="1:3" ht="25.5" customHeight="1">
      <c r="A10" s="97">
        <v>209</v>
      </c>
      <c r="B10" s="8" t="s">
        <v>173</v>
      </c>
      <c r="C10" s="8" t="s">
        <v>174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.8515625" style="0" customWidth="1"/>
    <col min="2" max="2" width="5.140625" style="0" customWidth="1"/>
    <col min="3" max="3" width="20.00390625" style="0" customWidth="1"/>
    <col min="4" max="4" width="10.7109375" style="0" customWidth="1"/>
    <col min="5" max="5" width="5.421875" style="0" customWidth="1"/>
    <col min="6" max="6" width="8.140625" style="0" customWidth="1"/>
    <col min="7" max="7" width="4.57421875" style="0" customWidth="1"/>
    <col min="8" max="8" width="5.7109375" style="0" customWidth="1"/>
    <col min="9" max="9" width="7.7109375" style="0" customWidth="1"/>
    <col min="10" max="10" width="7.00390625" style="0" customWidth="1"/>
    <col min="11" max="16384" width="8.7109375" style="0" customWidth="1"/>
  </cols>
  <sheetData>
    <row r="1" spans="1:12" ht="12.75" customHeight="1">
      <c r="A1" s="6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 customHeight="1">
      <c r="A2" s="9" t="s">
        <v>37</v>
      </c>
      <c r="B2" s="10" t="s">
        <v>38</v>
      </c>
      <c r="C2" s="11" t="s">
        <v>39</v>
      </c>
      <c r="D2" s="11" t="s">
        <v>40</v>
      </c>
      <c r="E2" s="12" t="s">
        <v>41</v>
      </c>
      <c r="F2" s="12"/>
      <c r="G2" s="12"/>
      <c r="H2" s="12" t="s">
        <v>42</v>
      </c>
      <c r="I2" s="12"/>
      <c r="J2" s="12"/>
      <c r="K2" s="13" t="s">
        <v>43</v>
      </c>
      <c r="L2" s="13"/>
    </row>
    <row r="3" spans="1:12" ht="48.75" customHeight="1">
      <c r="A3" s="9"/>
      <c r="B3" s="10"/>
      <c r="C3" s="11"/>
      <c r="D3" s="11"/>
      <c r="E3" s="9" t="s">
        <v>44</v>
      </c>
      <c r="F3" s="14" t="s">
        <v>45</v>
      </c>
      <c r="G3" s="9" t="s">
        <v>46</v>
      </c>
      <c r="H3" s="9" t="s">
        <v>44</v>
      </c>
      <c r="I3" s="14" t="s">
        <v>45</v>
      </c>
      <c r="J3" s="9" t="s">
        <v>46</v>
      </c>
      <c r="K3" s="14" t="s">
        <v>45</v>
      </c>
      <c r="L3" s="15" t="s">
        <v>46</v>
      </c>
    </row>
    <row r="4" spans="1:12" ht="38.25" customHeight="1">
      <c r="A4" s="16">
        <f aca="true" t="shared" si="0" ref="A4:A12">L4</f>
        <v>1</v>
      </c>
      <c r="B4" s="17">
        <f>dane_TP!A5</f>
        <v>4</v>
      </c>
      <c r="C4" s="18" t="str">
        <f>dane_TP!B5</f>
        <v>Wioletta Prawda
Natalia Kominek
Aleksandra Banaszek</v>
      </c>
      <c r="D4" s="19" t="str">
        <f>dane_TP!C5</f>
        <v>TKPZ Brzeźnica</v>
      </c>
      <c r="E4" s="20">
        <f>TP_E1!P14</f>
        <v>411</v>
      </c>
      <c r="F4" s="21">
        <f>IF(E4&lt;&gt;"",IF(ISNUMBER(E4),MAX(1000/_TPE1*(_TPE1-E4+MIN(E$2:E$85)),1),0),"")</f>
        <v>788.0952380952381</v>
      </c>
      <c r="G4" s="16">
        <f aca="true" t="shared" si="1" ref="G4:G12">IF(F4&lt;&gt;"",RANK(F4,F$2:F$85),"")</f>
        <v>6</v>
      </c>
      <c r="H4" s="20">
        <f>TP_E2!P14</f>
        <v>305</v>
      </c>
      <c r="I4" s="21">
        <f>IF(H4&lt;&gt;"",IF(ISNUMBER(H4),MAX(1000/_TPE2*(_TPE2-H4+MIN(H$2:H$85)),1),0),"")</f>
        <v>1000</v>
      </c>
      <c r="J4" s="16">
        <f aca="true" t="shared" si="2" ref="J4:J12">IF(I4&lt;&gt;"",RANK(I4,I$2:I$85),"")</f>
        <v>1</v>
      </c>
      <c r="K4" s="21">
        <f aca="true" t="shared" si="3" ref="K4:K12">F4+I4</f>
        <v>1788.095238095238</v>
      </c>
      <c r="L4" s="16">
        <f aca="true" t="shared" si="4" ref="L4:L12">IF(K4&lt;&gt;"",RANK(K4,K$2:K$20),"")</f>
        <v>1</v>
      </c>
    </row>
    <row r="5" spans="1:12" ht="38.25" customHeight="1">
      <c r="A5" s="16">
        <f t="shared" si="0"/>
        <v>2</v>
      </c>
      <c r="B5" s="17">
        <f>dane_TP!A4</f>
        <v>3</v>
      </c>
      <c r="C5" s="22" t="str">
        <f>dane_TP!B4</f>
        <v>Karolina Chałas
Paulina Woźniak
Jakub Banaszek</v>
      </c>
      <c r="D5" s="19" t="str">
        <f>dane_TP!C4</f>
        <v>TKPZ Brzeźnica</v>
      </c>
      <c r="E5" s="20">
        <f>TP_E1!P12</f>
        <v>248</v>
      </c>
      <c r="F5" s="21">
        <f>IF(E5&lt;&gt;"",IF(ISNUMBER(E5),MAX(1000/_TPE1*(_TPE1-E5+MIN(E$2:E$85)),1),0),"")</f>
        <v>917.4603174603174</v>
      </c>
      <c r="G5" s="16">
        <f t="shared" si="1"/>
        <v>3</v>
      </c>
      <c r="H5" s="20">
        <f>TP_E2!P12</f>
        <v>660</v>
      </c>
      <c r="I5" s="21">
        <f>IF(H5&lt;&gt;"",IF(ISNUMBER(H5),MAX(1000/_TPE2*(_TPE2-H5+MIN(H$2:H$85)),1),0),"")</f>
        <v>718.2539682539682</v>
      </c>
      <c r="J5" s="16">
        <f t="shared" si="2"/>
        <v>2</v>
      </c>
      <c r="K5" s="21">
        <f t="shared" si="3"/>
        <v>1635.7142857142856</v>
      </c>
      <c r="L5" s="16">
        <f t="shared" si="4"/>
        <v>2</v>
      </c>
    </row>
    <row r="6" spans="1:12" ht="25.5" customHeight="1">
      <c r="A6" s="16">
        <f t="shared" si="0"/>
        <v>3</v>
      </c>
      <c r="B6" s="23">
        <f>dane_TP!A7</f>
        <v>7</v>
      </c>
      <c r="C6" s="18" t="str">
        <f>dane_TP!B7</f>
        <v>Oskar Kozłowski
Hubert Krzosek</v>
      </c>
      <c r="D6" s="19" t="str">
        <f>dane_TP!C7</f>
        <v>ZSP Białobrzegi</v>
      </c>
      <c r="E6" s="20">
        <f>TP_E1!P18</f>
        <v>144</v>
      </c>
      <c r="F6" s="21">
        <f>IF(E6&lt;&gt;"",IF(ISNUMBER(E6),MAX(1000/_TPE1*(_TPE1-E6+MIN(E$2:E$85)),1),0),"")</f>
        <v>1000</v>
      </c>
      <c r="G6" s="16">
        <f t="shared" si="1"/>
        <v>1</v>
      </c>
      <c r="H6" s="20">
        <f>TP_E2!P18</f>
        <v>1015</v>
      </c>
      <c r="I6" s="21">
        <f>IF(H6&lt;&gt;"",IF(ISNUMBER(H6),MAX(1000/_TPE2*(_TPE2-H6+MIN(H$2:H$85)),1),0),"")</f>
        <v>436.5079365079365</v>
      </c>
      <c r="J6" s="16">
        <f t="shared" si="2"/>
        <v>4</v>
      </c>
      <c r="K6" s="21">
        <f t="shared" si="3"/>
        <v>1436.5079365079364</v>
      </c>
      <c r="L6" s="16">
        <f t="shared" si="4"/>
        <v>3</v>
      </c>
    </row>
    <row r="7" spans="1:12" ht="38.25" customHeight="1">
      <c r="A7" s="16">
        <f t="shared" si="0"/>
        <v>4</v>
      </c>
      <c r="B7" s="17">
        <f>dane_TP!A6</f>
        <v>5</v>
      </c>
      <c r="C7" s="24" t="str">
        <f>dane_TP!B6</f>
        <v>Patrycja Gajda
Karolina Kuty
Ilona Wróbel</v>
      </c>
      <c r="D7" s="19" t="s">
        <v>47</v>
      </c>
      <c r="E7" s="20">
        <f>TP_E1!P16</f>
        <v>282</v>
      </c>
      <c r="F7" s="21">
        <f>IF(E7&lt;&gt;"",IF(ISNUMBER(E7),MAX(1000/_TPE1*(_TPE1-E7+MIN(E$2:E$85)),1),0),"")</f>
        <v>890.4761904761905</v>
      </c>
      <c r="G7" s="16">
        <f t="shared" si="1"/>
        <v>4</v>
      </c>
      <c r="H7" s="20">
        <f>TP_E2!P16</f>
        <v>1070</v>
      </c>
      <c r="I7" s="21">
        <f>IF(H7&lt;&gt;"",IF(ISNUMBER(H7),MAX(1000/_TPE2*(_TPE2-H7+MIN(H$2:H$85)),1),0),"")</f>
        <v>392.85714285714283</v>
      </c>
      <c r="J7" s="16">
        <f t="shared" si="2"/>
        <v>5</v>
      </c>
      <c r="K7" s="21">
        <f t="shared" si="3"/>
        <v>1283.3333333333333</v>
      </c>
      <c r="L7" s="16">
        <f t="shared" si="4"/>
        <v>4</v>
      </c>
    </row>
    <row r="8" spans="1:12" ht="25.5" customHeight="1">
      <c r="A8" s="16">
        <f t="shared" si="0"/>
        <v>5</v>
      </c>
      <c r="B8" s="17">
        <f>dane_TP!A8</f>
        <v>9</v>
      </c>
      <c r="C8" s="25" t="str">
        <f>dane_TP!B8</f>
        <v>Anna Trybuła
Ewelina Czarnecka</v>
      </c>
      <c r="D8" s="19" t="str">
        <f>dane_TP!C8</f>
        <v>Lemury</v>
      </c>
      <c r="E8" s="20">
        <f>TP_E1!P20</f>
        <v>175</v>
      </c>
      <c r="F8" s="21">
        <f>IF(E8&lt;&gt;"",IF(ISNUMBER(E8),MAX(1000/_TPE1*(_TPE1-E8+MIN(E$2:E$85)),1),0),"")</f>
        <v>975.3968253968253</v>
      </c>
      <c r="G8" s="16">
        <f t="shared" si="1"/>
        <v>2</v>
      </c>
      <c r="H8" s="20" t="str">
        <f>TP_E2!P20</f>
        <v>NKL</v>
      </c>
      <c r="I8" s="21">
        <f>IF(H8&lt;&gt;"",IF(ISNUMBER(H8),MAX(1000/_TPE2*(_TPE2-H8+MIN(H$2:H$85)),1),0),"")</f>
        <v>0</v>
      </c>
      <c r="J8" s="16">
        <f t="shared" si="2"/>
        <v>7</v>
      </c>
      <c r="K8" s="21">
        <f t="shared" si="3"/>
        <v>975.3968253968253</v>
      </c>
      <c r="L8" s="16">
        <f t="shared" si="4"/>
        <v>5</v>
      </c>
    </row>
    <row r="9" spans="1:12" ht="38.25" customHeight="1">
      <c r="A9" s="16">
        <f t="shared" si="0"/>
        <v>6</v>
      </c>
      <c r="B9" s="17">
        <f>dane_TP!A9</f>
        <v>10</v>
      </c>
      <c r="C9" s="22" t="str">
        <f>dane_TP!B9</f>
        <v>Norbert Czarnecki
Mirosław Trybuła
Zalewski Sławomir</v>
      </c>
      <c r="D9" s="19" t="str">
        <f>dane_TP!C9</f>
        <v> </v>
      </c>
      <c r="E9" s="20">
        <f>TP_E1!P22</f>
        <v>353</v>
      </c>
      <c r="F9" s="21">
        <f>IF(E9&lt;&gt;"",IF(ISNUMBER(E9),MAX(1000/_TPE1*(_TPE1-E9+MIN(E$2:E$85)),1),0),"")</f>
        <v>834.1269841269841</v>
      </c>
      <c r="G9" s="16">
        <f t="shared" si="1"/>
        <v>5</v>
      </c>
      <c r="H9" s="20" t="str">
        <f>TP_E2!P22</f>
        <v>NKL</v>
      </c>
      <c r="I9" s="21">
        <f>IF(H9&lt;&gt;"",IF(ISNUMBER(H9),MAX(1000/_TPE2*(_TPE2-H9+MIN(H$2:H$85)),1),0),"")</f>
        <v>0</v>
      </c>
      <c r="J9" s="16">
        <f t="shared" si="2"/>
        <v>7</v>
      </c>
      <c r="K9" s="21">
        <f t="shared" si="3"/>
        <v>834.1269841269841</v>
      </c>
      <c r="L9" s="16">
        <f t="shared" si="4"/>
        <v>6</v>
      </c>
    </row>
    <row r="10" spans="1:12" ht="51" customHeight="1">
      <c r="A10" s="16">
        <f t="shared" si="0"/>
        <v>7</v>
      </c>
      <c r="B10" s="17">
        <f>dane_TP!A2</f>
        <v>1</v>
      </c>
      <c r="C10" s="26" t="str">
        <f>dane_TP!B2</f>
        <v>Aleksandra Gajda
Sylwia Gorzkowska
Magdalena Prawda
Zuzanna Krześniak</v>
      </c>
      <c r="D10" s="19" t="str">
        <f>dane_TP!C2</f>
        <v>TKPZ Brzeźnica</v>
      </c>
      <c r="E10" s="20">
        <f>TP_E1!P8</f>
        <v>1287</v>
      </c>
      <c r="F10" s="21">
        <f>IF(E10&lt;&gt;"",IF(ISNUMBER(E10),MAX(1000/_TPE1*(_TPE1-E10+MIN(E$2:E$85)),1),0),"")</f>
        <v>92.85714285714285</v>
      </c>
      <c r="G10" s="16">
        <f t="shared" si="1"/>
        <v>9</v>
      </c>
      <c r="H10" s="20">
        <f>TP_E2!P8</f>
        <v>660</v>
      </c>
      <c r="I10" s="21">
        <f>IF(H10&lt;&gt;"",IF(ISNUMBER(H10),MAX(1000/_TPE2*(_TPE2-H10+MIN(H$2:H$85)),1),0),"")</f>
        <v>718.2539682539682</v>
      </c>
      <c r="J10" s="16">
        <f t="shared" si="2"/>
        <v>2</v>
      </c>
      <c r="K10" s="21">
        <f t="shared" si="3"/>
        <v>811.1111111111111</v>
      </c>
      <c r="L10" s="16">
        <f t="shared" si="4"/>
        <v>7</v>
      </c>
    </row>
    <row r="11" spans="1:12" ht="38.25" customHeight="1">
      <c r="A11" s="16">
        <f t="shared" si="0"/>
        <v>8</v>
      </c>
      <c r="B11" s="17">
        <f>dane_TP!A3</f>
        <v>2</v>
      </c>
      <c r="C11" s="27" t="str">
        <f>dane_TP!B3</f>
        <v>Artur Kurek
Adam Furga
Mikołaj Pająk</v>
      </c>
      <c r="D11" s="19" t="str">
        <f>dane_TP!C3</f>
        <v>TKPZ Brzeźnica</v>
      </c>
      <c r="E11" s="20">
        <f>TP_E1!P10</f>
        <v>1125</v>
      </c>
      <c r="F11" s="21">
        <f>IF(E11&lt;&gt;"",IF(ISNUMBER(E11),MAX(1000/_TPE1*(_TPE1-E11+MIN(E$2:E$85)),1),0),"")</f>
        <v>221.42857142857142</v>
      </c>
      <c r="G11" s="16">
        <f t="shared" si="1"/>
        <v>8</v>
      </c>
      <c r="H11" s="20">
        <f>TP_E2!P10</f>
        <v>1070</v>
      </c>
      <c r="I11" s="21">
        <f>IF(H11&lt;&gt;"",IF(ISNUMBER(H11),MAX(1000/_TPE2*(_TPE2-H11+MIN(H$2:H$85)),1),0),"")</f>
        <v>392.85714285714283</v>
      </c>
      <c r="J11" s="16">
        <f t="shared" si="2"/>
        <v>5</v>
      </c>
      <c r="K11" s="21">
        <f t="shared" si="3"/>
        <v>614.2857142857142</v>
      </c>
      <c r="L11" s="16">
        <f t="shared" si="4"/>
        <v>8</v>
      </c>
    </row>
    <row r="12" spans="1:12" ht="25.5" customHeight="1">
      <c r="A12" s="16">
        <f t="shared" si="0"/>
        <v>9</v>
      </c>
      <c r="B12" s="17">
        <f>dane_TP!A10</f>
        <v>11</v>
      </c>
      <c r="C12" s="27" t="str">
        <f>dane_TP!B10</f>
        <v>Róża Morąg
Julia Kozłowska</v>
      </c>
      <c r="D12" s="19" t="str">
        <f>dane_TP!C10</f>
        <v>PG 23 Radom</v>
      </c>
      <c r="E12" s="20">
        <f>TP_E1!P24</f>
        <v>945</v>
      </c>
      <c r="F12" s="21">
        <f>IF(E12&lt;&gt;"",IF(ISNUMBER(E12),MAX(1000/_TPE1*(_TPE1-E12+MIN(E$2:E$85)),1),0),"")</f>
        <v>364.2857142857143</v>
      </c>
      <c r="G12" s="16">
        <f t="shared" si="1"/>
        <v>7</v>
      </c>
      <c r="H12" s="20" t="str">
        <f>TP_E2!P24</f>
        <v>NKL</v>
      </c>
      <c r="I12" s="21">
        <f>IF(H12&lt;&gt;"",IF(ISNUMBER(H12),MAX(1000/_TPE2*(_TPE2-H12+MIN(H$2:H$85)),1),0),"")</f>
        <v>0</v>
      </c>
      <c r="J12" s="16">
        <f t="shared" si="2"/>
        <v>7</v>
      </c>
      <c r="K12" s="21">
        <f t="shared" si="3"/>
        <v>364.2857142857143</v>
      </c>
      <c r="L12" s="16">
        <f t="shared" si="4"/>
        <v>9</v>
      </c>
    </row>
    <row r="14" ht="12.75" customHeight="1">
      <c r="D14" s="28"/>
    </row>
  </sheetData>
  <sheetProtection selectLockedCells="1" selectUnlockedCells="1"/>
  <mergeCells count="8">
    <mergeCell ref="A1:L1"/>
    <mergeCell ref="A2:A3"/>
    <mergeCell ref="B2:B3"/>
    <mergeCell ref="C2:C3"/>
    <mergeCell ref="D2:D3"/>
    <mergeCell ref="E2:G2"/>
    <mergeCell ref="H2:J2"/>
    <mergeCell ref="K2:L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H4" sqref="H4"/>
    </sheetView>
  </sheetViews>
  <sheetFormatPr defaultColWidth="9.140625" defaultRowHeight="12.75" customHeight="1"/>
  <cols>
    <col min="1" max="16384" width="8.7109375" style="0" customWidth="1"/>
  </cols>
  <sheetData>
    <row r="1" spans="1:12" ht="13.5" customHeight="1">
      <c r="A1" s="98" t="s">
        <v>175</v>
      </c>
      <c r="B1" s="98"/>
      <c r="C1" s="99" t="s">
        <v>176</v>
      </c>
      <c r="D1" s="99"/>
      <c r="E1" s="99"/>
      <c r="F1" s="99"/>
      <c r="G1" s="100" t="s">
        <v>177</v>
      </c>
      <c r="H1" s="100"/>
      <c r="I1" s="101"/>
      <c r="J1" s="102"/>
      <c r="K1" s="101"/>
      <c r="L1" s="102"/>
    </row>
    <row r="2" spans="1:12" ht="12.75" customHeight="1">
      <c r="A2" s="103" t="s">
        <v>178</v>
      </c>
      <c r="B2" s="104">
        <v>1260</v>
      </c>
      <c r="C2" s="105" t="s">
        <v>178</v>
      </c>
      <c r="D2" s="106">
        <v>1260</v>
      </c>
      <c r="E2" s="105" t="s">
        <v>178</v>
      </c>
      <c r="F2" s="106"/>
      <c r="G2" s="107" t="s">
        <v>178</v>
      </c>
      <c r="H2">
        <v>1260</v>
      </c>
      <c r="I2" s="108"/>
      <c r="J2" s="109"/>
      <c r="K2" s="108"/>
      <c r="L2" s="109"/>
    </row>
    <row r="3" spans="1:12" ht="12.75" customHeight="1">
      <c r="A3" s="103" t="s">
        <v>179</v>
      </c>
      <c r="B3" s="104">
        <v>1320</v>
      </c>
      <c r="C3" s="105" t="s">
        <v>179</v>
      </c>
      <c r="D3" s="106">
        <v>1080</v>
      </c>
      <c r="E3" s="105" t="s">
        <v>179</v>
      </c>
      <c r="F3" s="106"/>
      <c r="G3" s="107" t="s">
        <v>179</v>
      </c>
      <c r="H3" s="110">
        <v>1260</v>
      </c>
      <c r="I3" s="108"/>
      <c r="J3" s="109"/>
      <c r="K3" s="108"/>
      <c r="L3" s="109"/>
    </row>
    <row r="4" spans="1:12" ht="12.75" customHeight="1">
      <c r="A4" s="103" t="s">
        <v>180</v>
      </c>
      <c r="B4" s="104">
        <v>1170</v>
      </c>
      <c r="C4" s="105" t="s">
        <v>180</v>
      </c>
      <c r="D4" s="106">
        <v>1350</v>
      </c>
      <c r="E4" s="105" t="s">
        <v>180</v>
      </c>
      <c r="F4" s="106"/>
      <c r="G4" s="107" t="s">
        <v>180</v>
      </c>
      <c r="H4" s="110">
        <v>0</v>
      </c>
      <c r="I4" s="108"/>
      <c r="J4" s="109"/>
      <c r="K4" s="108"/>
      <c r="L4" s="109"/>
    </row>
    <row r="5" spans="1:12" ht="12.75" customHeight="1">
      <c r="A5" s="103" t="s">
        <v>181</v>
      </c>
      <c r="B5" s="104">
        <v>1260</v>
      </c>
      <c r="C5" s="105" t="s">
        <v>181</v>
      </c>
      <c r="D5" s="106">
        <v>1260</v>
      </c>
      <c r="E5" s="105" t="s">
        <v>181</v>
      </c>
      <c r="F5" s="106"/>
      <c r="G5" s="107" t="s">
        <v>181</v>
      </c>
      <c r="H5" s="110"/>
      <c r="I5" s="108"/>
      <c r="J5" s="109"/>
      <c r="K5" s="108"/>
      <c r="L5" s="109"/>
    </row>
    <row r="6" spans="1:12" ht="13.5" customHeight="1">
      <c r="A6" s="111" t="s">
        <v>182</v>
      </c>
      <c r="B6" s="112">
        <v>1500</v>
      </c>
      <c r="C6" s="113" t="s">
        <v>182</v>
      </c>
      <c r="D6" s="114">
        <v>1500</v>
      </c>
      <c r="E6" s="115" t="s">
        <v>182</v>
      </c>
      <c r="F6" s="114"/>
      <c r="G6" s="116" t="s">
        <v>182</v>
      </c>
      <c r="H6" s="117"/>
      <c r="I6" s="118"/>
      <c r="J6" s="119"/>
      <c r="K6" s="118"/>
      <c r="L6" s="119"/>
    </row>
  </sheetData>
  <sheetProtection selectLockedCells="1" selectUnlockedCells="1"/>
  <mergeCells count="3">
    <mergeCell ref="A1:B1"/>
    <mergeCell ref="C1:F1"/>
    <mergeCell ref="G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4">
      <selection activeCell="C30" sqref="C30"/>
    </sheetView>
  </sheetViews>
  <sheetFormatPr defaultColWidth="9.140625" defaultRowHeight="15" customHeight="1"/>
  <cols>
    <col min="1" max="1" width="5.8515625" style="29" customWidth="1"/>
    <col min="2" max="2" width="27.00390625" style="29" customWidth="1"/>
    <col min="3" max="3" width="10.28125" style="29" customWidth="1"/>
    <col min="4" max="4" width="20.7109375" style="29" customWidth="1"/>
    <col min="5" max="5" width="9.140625" style="29" customWidth="1"/>
    <col min="6" max="6" width="17.28125" style="29" customWidth="1"/>
    <col min="7" max="7" width="9.140625" style="29" customWidth="1"/>
    <col min="8" max="8" width="7.8515625" style="29" customWidth="1"/>
    <col min="9" max="9" width="7.00390625" style="29" customWidth="1"/>
    <col min="10" max="10" width="9.00390625" style="29" customWidth="1"/>
    <col min="11" max="11" width="7.28125" style="29" customWidth="1"/>
    <col min="12" max="12" width="7.57421875" style="29" customWidth="1"/>
    <col min="13" max="13" width="9.140625" style="29" customWidth="1"/>
    <col min="14" max="14" width="6.8515625" style="29" customWidth="1"/>
    <col min="15" max="15" width="9.00390625" style="29" customWidth="1"/>
    <col min="16" max="16384" width="9.140625" style="29" customWidth="1"/>
  </cols>
  <sheetData>
    <row r="1" spans="3:15" ht="15" customHeight="1">
      <c r="C1" s="30"/>
      <c r="E1" s="30"/>
      <c r="G1" s="30"/>
      <c r="N1" s="31"/>
      <c r="O1" s="31"/>
    </row>
    <row r="2" spans="1:15" ht="15" customHeight="1">
      <c r="A2" s="32"/>
      <c r="B2" s="33"/>
      <c r="C2" s="34"/>
      <c r="E2" s="35"/>
      <c r="F2" s="6" t="s">
        <v>48</v>
      </c>
      <c r="G2" s="6"/>
      <c r="H2" s="6"/>
      <c r="N2" s="31"/>
      <c r="O2" s="31"/>
    </row>
    <row r="3" spans="1:15" ht="15" customHeight="1">
      <c r="A3" s="32"/>
      <c r="B3" s="33" t="s">
        <v>49</v>
      </c>
      <c r="C3" s="34">
        <f>_TPE1</f>
        <v>1260</v>
      </c>
      <c r="D3" s="35"/>
      <c r="E3" s="35"/>
      <c r="F3" s="6" t="s">
        <v>50</v>
      </c>
      <c r="G3" s="6"/>
      <c r="H3" s="6"/>
      <c r="N3" s="31"/>
      <c r="O3" s="31"/>
    </row>
    <row r="4" spans="1:15" ht="15" customHeight="1">
      <c r="A4" s="32"/>
      <c r="B4" s="33" t="s">
        <v>51</v>
      </c>
      <c r="C4" s="34">
        <f>MIN(P:P)</f>
        <v>144</v>
      </c>
      <c r="D4" s="35"/>
      <c r="E4" s="35"/>
      <c r="N4" s="31"/>
      <c r="O4" s="31"/>
    </row>
    <row r="5" spans="1:15" ht="15" customHeight="1">
      <c r="A5" s="34" t="s">
        <v>52</v>
      </c>
      <c r="B5" s="34"/>
      <c r="C5" s="34"/>
      <c r="D5" s="35"/>
      <c r="E5" s="35"/>
      <c r="N5" s="31"/>
      <c r="O5" s="31"/>
    </row>
    <row r="6" spans="1:15" ht="15" customHeight="1">
      <c r="A6" s="36"/>
      <c r="N6" s="31"/>
      <c r="O6" s="31"/>
    </row>
    <row r="7" spans="1:17" ht="15.75" customHeight="1">
      <c r="A7" s="37" t="s">
        <v>53</v>
      </c>
      <c r="B7" s="38" t="s">
        <v>54</v>
      </c>
      <c r="C7" s="39" t="s">
        <v>55</v>
      </c>
      <c r="D7" s="38" t="s">
        <v>56</v>
      </c>
      <c r="E7" s="38" t="s">
        <v>57</v>
      </c>
      <c r="F7" s="38" t="s">
        <v>58</v>
      </c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9" t="s">
        <v>65</v>
      </c>
      <c r="N7" s="38" t="s">
        <v>66</v>
      </c>
      <c r="O7" s="38" t="s">
        <v>67</v>
      </c>
      <c r="P7" s="38" t="s">
        <v>68</v>
      </c>
      <c r="Q7" s="38" t="s">
        <v>69</v>
      </c>
    </row>
    <row r="8" spans="1:17" ht="15" customHeight="1">
      <c r="A8" s="40">
        <f>dane_TP!A2</f>
        <v>1</v>
      </c>
      <c r="B8" s="41" t="str">
        <f>dane_TP!B2</f>
        <v>Aleksandra Gajda
Sylwia Gorzkowska
Magdalena Prawda
Zuzanna Krześniak</v>
      </c>
      <c r="C8" s="41" t="str">
        <f>dane_TP!C2</f>
        <v>TKPZ Brzeźnica</v>
      </c>
      <c r="D8" s="42" t="s">
        <v>70</v>
      </c>
      <c r="E8" s="42"/>
      <c r="F8" s="43" t="s">
        <v>71</v>
      </c>
      <c r="G8" s="42"/>
      <c r="H8" s="42" t="s">
        <v>72</v>
      </c>
      <c r="I8" s="43"/>
      <c r="J8" s="42"/>
      <c r="K8" s="42"/>
      <c r="L8" s="42"/>
      <c r="M8" s="44">
        <v>10</v>
      </c>
      <c r="N8" s="44">
        <v>22</v>
      </c>
      <c r="O8" s="44"/>
      <c r="P8" s="45">
        <f>IF(O8="",90*D9+60*E9+25*F9+15*G9+10*H9+10*I9+30*(J9+K9+L9)+M8+N8,"NKL")</f>
        <v>1287</v>
      </c>
      <c r="Q8" s="46">
        <f>IF(P8&lt;&gt;"",IF(ISNUMBER(P8),MAX(1000*(($C$3+$C$4-P8)/$C$3),1),0))</f>
        <v>92.85714285714286</v>
      </c>
    </row>
    <row r="9" spans="1:17" ht="27.75" customHeight="1">
      <c r="A9" s="40"/>
      <c r="B9" s="41"/>
      <c r="C9" s="41"/>
      <c r="D9" s="44">
        <v>10</v>
      </c>
      <c r="E9" s="44"/>
      <c r="F9" s="47">
        <v>3</v>
      </c>
      <c r="G9" s="44"/>
      <c r="H9" s="44">
        <v>1</v>
      </c>
      <c r="I9" s="47"/>
      <c r="J9" s="44">
        <v>4</v>
      </c>
      <c r="K9" s="44">
        <v>5</v>
      </c>
      <c r="L9" s="44"/>
      <c r="M9" s="44"/>
      <c r="N9" s="44"/>
      <c r="O9" s="44"/>
      <c r="P9" s="45"/>
      <c r="Q9" s="46"/>
    </row>
    <row r="10" spans="1:17" ht="15" customHeight="1">
      <c r="A10" s="40">
        <f>dane_TP!A3</f>
        <v>2</v>
      </c>
      <c r="B10" s="41" t="str">
        <f>dane_TP!B3</f>
        <v>Artur Kurek
Adam Furga
Mikołaj Pająk</v>
      </c>
      <c r="C10" s="41" t="str">
        <f>dane_TP!C3</f>
        <v>TKPZ Brzeźnica</v>
      </c>
      <c r="D10" s="43" t="s">
        <v>73</v>
      </c>
      <c r="E10" s="43"/>
      <c r="F10" s="43" t="s">
        <v>74</v>
      </c>
      <c r="G10" s="43"/>
      <c r="H10" s="43" t="s">
        <v>75</v>
      </c>
      <c r="I10" s="43"/>
      <c r="J10" s="43"/>
      <c r="K10" s="43"/>
      <c r="L10" s="43"/>
      <c r="M10" s="44">
        <v>10</v>
      </c>
      <c r="N10" s="44">
        <v>25</v>
      </c>
      <c r="O10" s="44"/>
      <c r="P10" s="45">
        <f aca="true" t="shared" si="0" ref="P10">IF(O10="",90*D11+60*E11+25*F11+15*G11+10*H11+10*I11+30*(J11+K11+L11)+M10+N10,"NKL")</f>
        <v>1125</v>
      </c>
      <c r="Q10" s="46">
        <f aca="true" t="shared" si="1" ref="Q10">IF(P10&lt;&gt;"",IF(ISNUMBER(P10),MAX(1000*(($C$3+$C$4-P10)/$C$3),1),0))</f>
        <v>221.42857142857142</v>
      </c>
    </row>
    <row r="11" spans="1:17" ht="30" customHeight="1">
      <c r="A11" s="40"/>
      <c r="B11" s="41"/>
      <c r="C11" s="41"/>
      <c r="D11" s="47">
        <v>8</v>
      </c>
      <c r="E11" s="47"/>
      <c r="F11" s="47">
        <v>4</v>
      </c>
      <c r="G11" s="47"/>
      <c r="H11" s="47">
        <v>3</v>
      </c>
      <c r="I11" s="47"/>
      <c r="J11" s="47">
        <v>2</v>
      </c>
      <c r="K11" s="47">
        <v>6</v>
      </c>
      <c r="L11" s="47"/>
      <c r="M11" s="44"/>
      <c r="N11" s="44"/>
      <c r="O11" s="44"/>
      <c r="P11" s="45"/>
      <c r="Q11" s="46"/>
    </row>
    <row r="12" spans="1:17" ht="15.75" customHeight="1">
      <c r="A12" s="40">
        <f>dane_TP!A4</f>
        <v>3</v>
      </c>
      <c r="B12" s="48" t="str">
        <f>dane_TP!B4</f>
        <v>Karolina Chałas
Paulina Woźniak
Jakub Banaszek</v>
      </c>
      <c r="C12" s="48" t="str">
        <f>dane_TP!C4</f>
        <v>TKPZ Brzeźnica</v>
      </c>
      <c r="D12" s="49" t="s">
        <v>76</v>
      </c>
      <c r="E12" s="49"/>
      <c r="F12" s="49" t="s">
        <v>77</v>
      </c>
      <c r="G12" s="49"/>
      <c r="H12" s="49"/>
      <c r="I12" s="49"/>
      <c r="J12" s="49"/>
      <c r="K12" s="49"/>
      <c r="L12" s="49"/>
      <c r="M12" s="50">
        <v>5</v>
      </c>
      <c r="N12" s="50">
        <v>28</v>
      </c>
      <c r="O12" s="44"/>
      <c r="P12" s="51">
        <f aca="true" t="shared" si="2" ref="P12">IF(O12="",90*D13+60*E13+25*F13+15*G13+10*H13+10*I13+30*(J13+K13+L13)+M12+N12,"NKL")</f>
        <v>248</v>
      </c>
      <c r="Q12" s="52">
        <f aca="true" t="shared" si="3" ref="Q12">IF(P12&lt;&gt;"",IF(ISNUMBER(P12),MAX(1000*(($C$3+$C$4-P12)/$C$3),1),0))</f>
        <v>917.4603174603175</v>
      </c>
    </row>
    <row r="13" spans="1:17" ht="34.5" customHeight="1">
      <c r="A13" s="40"/>
      <c r="B13" s="48"/>
      <c r="C13" s="48"/>
      <c r="D13" s="53">
        <v>1</v>
      </c>
      <c r="E13" s="53"/>
      <c r="F13" s="53">
        <v>5</v>
      </c>
      <c r="G13" s="53"/>
      <c r="H13" s="53"/>
      <c r="I13" s="53"/>
      <c r="J13" s="53"/>
      <c r="K13" s="53"/>
      <c r="L13" s="53"/>
      <c r="M13" s="50"/>
      <c r="N13" s="50"/>
      <c r="O13" s="44"/>
      <c r="P13" s="51"/>
      <c r="Q13" s="52"/>
    </row>
    <row r="14" spans="1:17" ht="15" customHeight="1">
      <c r="A14" s="40">
        <f>dane_TP!A5</f>
        <v>4</v>
      </c>
      <c r="B14" s="41" t="str">
        <f>dane_TP!B5</f>
        <v>Wioletta Prawda
Natalia Kominek
Aleksandra Banaszek</v>
      </c>
      <c r="C14" s="41" t="str">
        <f>dane_TP!C5</f>
        <v>TKPZ Brzeźnica</v>
      </c>
      <c r="D14" s="43" t="s">
        <v>78</v>
      </c>
      <c r="E14" s="43"/>
      <c r="F14" s="43" t="s">
        <v>79</v>
      </c>
      <c r="G14" s="43"/>
      <c r="H14" s="43"/>
      <c r="I14" s="43"/>
      <c r="J14" s="43"/>
      <c r="K14" s="43"/>
      <c r="L14" s="43"/>
      <c r="M14" s="44">
        <v>10</v>
      </c>
      <c r="N14" s="44">
        <v>21</v>
      </c>
      <c r="O14" s="44"/>
      <c r="P14" s="45">
        <f aca="true" t="shared" si="4" ref="P14">IF(O14="",90*D15+60*E15+25*F15+15*G15+10*H15+10*I15+30*(J15+K15+L15)+M14+N14,"NKL")</f>
        <v>411</v>
      </c>
      <c r="Q14" s="46">
        <f aca="true" t="shared" si="5" ref="Q14">IF(P14&lt;&gt;"",IF(ISNUMBER(P14),MAX(1000*(($C$3+$C$4-P14)/$C$3),1),0))</f>
        <v>788.0952380952381</v>
      </c>
    </row>
    <row r="15" spans="1:17" ht="32.25" customHeight="1">
      <c r="A15" s="40"/>
      <c r="B15" s="41"/>
      <c r="C15" s="41"/>
      <c r="D15" s="47">
        <v>1</v>
      </c>
      <c r="E15" s="47"/>
      <c r="F15" s="47">
        <v>8</v>
      </c>
      <c r="G15" s="47"/>
      <c r="H15" s="47"/>
      <c r="I15" s="47"/>
      <c r="J15" s="47">
        <v>1</v>
      </c>
      <c r="K15" s="47"/>
      <c r="L15" s="47">
        <v>2</v>
      </c>
      <c r="M15" s="44"/>
      <c r="N15" s="44"/>
      <c r="O15" s="44"/>
      <c r="P15" s="45"/>
      <c r="Q15" s="46"/>
    </row>
    <row r="16" spans="1:17" ht="15" customHeight="1">
      <c r="A16" s="40">
        <f>dane_TP!A6</f>
        <v>5</v>
      </c>
      <c r="B16" s="48" t="str">
        <f>dane_TP!B6</f>
        <v>Patrycja Gajda
Karolina Kuty
Ilona Wróbel</v>
      </c>
      <c r="C16" s="48" t="str">
        <f>dane_TP!C6</f>
        <v>TKPZ Brzeźnica</v>
      </c>
      <c r="D16" s="49" t="s">
        <v>76</v>
      </c>
      <c r="E16" s="49"/>
      <c r="F16" s="49" t="s">
        <v>77</v>
      </c>
      <c r="G16" s="49"/>
      <c r="H16" s="49"/>
      <c r="I16" s="49" t="s">
        <v>80</v>
      </c>
      <c r="J16" s="49"/>
      <c r="K16" s="49"/>
      <c r="L16" s="49"/>
      <c r="M16" s="50">
        <v>10</v>
      </c>
      <c r="N16" s="50">
        <v>17</v>
      </c>
      <c r="O16" s="44"/>
      <c r="P16" s="51">
        <f aca="true" t="shared" si="6" ref="P16">IF(O16="",90*D17+60*E17+25*F17+15*G17+10*H17+10*I17+30*(J17+K17+L17)+M16+N16,"NKL")</f>
        <v>282</v>
      </c>
      <c r="Q16" s="52">
        <f aca="true" t="shared" si="7" ref="Q16">IF(P16&lt;&gt;"",IF(ISNUMBER(P16),MAX(1000*(($C$3+$C$4-P16)/$C$3),1),0))</f>
        <v>890.4761904761904</v>
      </c>
    </row>
    <row r="17" spans="1:17" ht="28.5" customHeight="1">
      <c r="A17" s="40"/>
      <c r="B17" s="48"/>
      <c r="C17" s="48"/>
      <c r="D17" s="53">
        <v>1</v>
      </c>
      <c r="E17" s="53"/>
      <c r="F17" s="53">
        <v>5</v>
      </c>
      <c r="G17" s="53"/>
      <c r="H17" s="53"/>
      <c r="I17" s="53">
        <v>1</v>
      </c>
      <c r="J17" s="53">
        <v>1</v>
      </c>
      <c r="K17" s="53"/>
      <c r="L17" s="53"/>
      <c r="M17" s="50"/>
      <c r="N17" s="50"/>
      <c r="O17" s="44"/>
      <c r="P17" s="51"/>
      <c r="Q17" s="52"/>
    </row>
    <row r="18" spans="1:17" ht="15.75" customHeight="1">
      <c r="A18" s="40">
        <f>dane_TP!A7</f>
        <v>7</v>
      </c>
      <c r="B18" s="41" t="str">
        <f>dane_TP!B7</f>
        <v>Oskar Kozłowski
Hubert Krzosek</v>
      </c>
      <c r="C18" s="41" t="str">
        <f>dane_TP!C7</f>
        <v>ZSP Białobrzegi</v>
      </c>
      <c r="D18" s="43"/>
      <c r="E18" s="43"/>
      <c r="F18" s="43" t="s">
        <v>81</v>
      </c>
      <c r="G18" s="43"/>
      <c r="H18" s="43" t="s">
        <v>78</v>
      </c>
      <c r="I18" s="43"/>
      <c r="J18" s="43"/>
      <c r="K18" s="43"/>
      <c r="L18" s="43"/>
      <c r="M18" s="44">
        <v>10</v>
      </c>
      <c r="N18" s="44">
        <v>24</v>
      </c>
      <c r="O18" s="44"/>
      <c r="P18" s="45">
        <f aca="true" t="shared" si="8" ref="P18">IF(O18="",90*D19+60*E19+25*F19+15*G19+10*H19+10*I19+30*(J19+K19+L19)+M18+N18,"NKL")</f>
        <v>144</v>
      </c>
      <c r="Q18" s="46">
        <f aca="true" t="shared" si="9" ref="Q18">IF(P18&lt;&gt;"",IF(ISNUMBER(P18),MAX(1000*(($C$3+$C$4-P18)/$C$3),1),0))</f>
        <v>1000</v>
      </c>
    </row>
    <row r="19" spans="1:17" ht="15.75" customHeight="1">
      <c r="A19" s="40"/>
      <c r="B19" s="41"/>
      <c r="C19" s="41"/>
      <c r="D19" s="47"/>
      <c r="E19" s="47"/>
      <c r="F19" s="47">
        <v>4</v>
      </c>
      <c r="G19" s="47"/>
      <c r="H19" s="47">
        <v>1</v>
      </c>
      <c r="I19" s="47"/>
      <c r="J19" s="47"/>
      <c r="K19" s="47"/>
      <c r="L19" s="47"/>
      <c r="M19" s="44"/>
      <c r="N19" s="44"/>
      <c r="O19" s="44"/>
      <c r="P19" s="45"/>
      <c r="Q19" s="46"/>
    </row>
    <row r="20" spans="1:17" ht="15" customHeight="1">
      <c r="A20" s="40">
        <f>dane_TP!A8</f>
        <v>9</v>
      </c>
      <c r="B20" s="41" t="str">
        <f>dane_TP!B8</f>
        <v>Anna Trybuła
Ewelina Czarnecka</v>
      </c>
      <c r="C20" s="41" t="str">
        <f>dane_TP!C8</f>
        <v>Lemury</v>
      </c>
      <c r="D20" s="42"/>
      <c r="E20" s="42"/>
      <c r="F20" s="42" t="s">
        <v>82</v>
      </c>
      <c r="G20" s="42"/>
      <c r="H20" s="42"/>
      <c r="I20" s="42"/>
      <c r="J20" s="42"/>
      <c r="K20" s="42"/>
      <c r="L20" s="42"/>
      <c r="M20" s="44">
        <v>10</v>
      </c>
      <c r="N20" s="44"/>
      <c r="O20" s="44"/>
      <c r="P20" s="45">
        <f aca="true" t="shared" si="10" ref="P20">IF(O20="",90*D21+60*E21+25*F21+15*G21+10*H21+10*I21+30*(J21+K21+L21)+M20+N20,"NKL")</f>
        <v>175</v>
      </c>
      <c r="Q20" s="46">
        <f aca="true" t="shared" si="11" ref="Q20">IF(P20&lt;&gt;"",IF(ISNUMBER(P20),MAX(1000*(($C$3+$C$4-P20)/$C$3),1),0))</f>
        <v>975.3968253968254</v>
      </c>
    </row>
    <row r="21" spans="1:17" ht="15.75" customHeight="1">
      <c r="A21" s="40"/>
      <c r="B21" s="41"/>
      <c r="C21" s="41"/>
      <c r="D21" s="44"/>
      <c r="E21" s="44"/>
      <c r="F21" s="44">
        <v>3</v>
      </c>
      <c r="G21" s="44"/>
      <c r="H21" s="44"/>
      <c r="I21" s="44"/>
      <c r="J21" s="44"/>
      <c r="K21" s="44"/>
      <c r="L21" s="44">
        <v>3</v>
      </c>
      <c r="M21" s="44"/>
      <c r="N21" s="44"/>
      <c r="O21" s="44"/>
      <c r="P21" s="45"/>
      <c r="Q21" s="46"/>
    </row>
    <row r="22" spans="1:17" ht="15" customHeight="1">
      <c r="A22" s="40">
        <f>dane_TP!A9</f>
        <v>10</v>
      </c>
      <c r="B22" s="41" t="str">
        <f>dane_TP!B9</f>
        <v>Norbert Czarnecki
Mirosław Trybuła
Zalewski Sławomir</v>
      </c>
      <c r="C22" s="41" t="str">
        <f>dane_TP!C9</f>
        <v> </v>
      </c>
      <c r="D22" s="42"/>
      <c r="E22" s="42"/>
      <c r="F22" s="42" t="s">
        <v>83</v>
      </c>
      <c r="G22" s="42"/>
      <c r="H22" s="42"/>
      <c r="I22" s="42"/>
      <c r="J22" s="42"/>
      <c r="K22" s="42"/>
      <c r="L22" s="42"/>
      <c r="M22" s="44">
        <v>10</v>
      </c>
      <c r="N22" s="44">
        <v>23</v>
      </c>
      <c r="O22" s="44"/>
      <c r="P22" s="45">
        <f aca="true" t="shared" si="12" ref="P22">IF(O22="",90*D23+60*E23+25*F23+15*G23+10*H23+10*I23+30*(J23+K23+L23)+M22+N22,"NKL")</f>
        <v>353</v>
      </c>
      <c r="Q22" s="46">
        <f aca="true" t="shared" si="13" ref="Q22">IF(P22&lt;&gt;"",IF(ISNUMBER(P22),MAX(1000*(($C$3+$C$4-P22)/$C$3),1),0))</f>
        <v>834.1269841269842</v>
      </c>
    </row>
    <row r="23" spans="1:17" ht="33" customHeight="1">
      <c r="A23" s="40"/>
      <c r="B23" s="41"/>
      <c r="C23" s="41"/>
      <c r="D23" s="44"/>
      <c r="E23" s="44"/>
      <c r="F23" s="44">
        <v>2</v>
      </c>
      <c r="G23" s="44"/>
      <c r="H23" s="44"/>
      <c r="I23" s="44"/>
      <c r="J23" s="44"/>
      <c r="K23" s="44"/>
      <c r="L23" s="44">
        <v>9</v>
      </c>
      <c r="M23" s="44"/>
      <c r="N23" s="44"/>
      <c r="O23" s="44"/>
      <c r="P23" s="45"/>
      <c r="Q23" s="46"/>
    </row>
    <row r="24" spans="1:17" ht="15" customHeight="1">
      <c r="A24" s="37">
        <f>dane_TP!A10</f>
        <v>11</v>
      </c>
      <c r="B24" s="41" t="str">
        <f>dane_TP!B10</f>
        <v>Róża Morąg
Julia Kozłowska</v>
      </c>
      <c r="C24" s="41" t="str">
        <f>dane_TP!C10</f>
        <v>PG 23 Radom</v>
      </c>
      <c r="D24" s="42">
        <v>3</v>
      </c>
      <c r="E24" s="42"/>
      <c r="F24" s="42" t="s">
        <v>84</v>
      </c>
      <c r="G24" s="42"/>
      <c r="H24" s="42"/>
      <c r="I24" s="42"/>
      <c r="J24" s="42"/>
      <c r="K24" s="42"/>
      <c r="L24" s="42"/>
      <c r="M24" s="44">
        <v>5</v>
      </c>
      <c r="N24" s="44">
        <v>720</v>
      </c>
      <c r="O24" s="44"/>
      <c r="P24" s="45">
        <f aca="true" t="shared" si="14" ref="P24">IF(O24="",90*D25+60*E25+25*F25+15*G25+10*H25+10*I25+30*(J25+K25+L25)+M24+N24,"NKL")</f>
        <v>945</v>
      </c>
      <c r="Q24" s="46">
        <f aca="true" t="shared" si="15" ref="Q24">IF(P24&lt;&gt;"",IF(ISNUMBER(P24),MAX(1000*(($C$3+$C$4-P24)/$C$3),1),0))</f>
        <v>364.2857142857143</v>
      </c>
    </row>
    <row r="25" spans="1:17" ht="15.75" customHeight="1">
      <c r="A25" s="37"/>
      <c r="B25" s="41"/>
      <c r="C25" s="41"/>
      <c r="D25" s="44">
        <v>1</v>
      </c>
      <c r="E25" s="44"/>
      <c r="F25" s="44">
        <v>4</v>
      </c>
      <c r="G25" s="44"/>
      <c r="H25" s="44"/>
      <c r="I25" s="44"/>
      <c r="J25" s="44">
        <v>1</v>
      </c>
      <c r="K25" s="44"/>
      <c r="L25" s="44"/>
      <c r="M25" s="44"/>
      <c r="N25" s="44"/>
      <c r="O25" s="44"/>
      <c r="P25" s="45"/>
      <c r="Q25" s="46"/>
    </row>
  </sheetData>
  <sheetProtection selectLockedCells="1" selectUnlockedCells="1"/>
  <mergeCells count="74">
    <mergeCell ref="F2:H2"/>
    <mergeCell ref="F3:H3"/>
    <mergeCell ref="A8:A9"/>
    <mergeCell ref="B8:B9"/>
    <mergeCell ref="C8:C9"/>
    <mergeCell ref="M8:M9"/>
    <mergeCell ref="N8:N9"/>
    <mergeCell ref="O8:O9"/>
    <mergeCell ref="P8:P9"/>
    <mergeCell ref="Q8:Q9"/>
    <mergeCell ref="A10:A11"/>
    <mergeCell ref="B10:B11"/>
    <mergeCell ref="C10:C11"/>
    <mergeCell ref="M10:M11"/>
    <mergeCell ref="N10:N11"/>
    <mergeCell ref="O10:O11"/>
    <mergeCell ref="P10:P11"/>
    <mergeCell ref="Q10:Q11"/>
    <mergeCell ref="A12:A13"/>
    <mergeCell ref="B12:B13"/>
    <mergeCell ref="C12:C13"/>
    <mergeCell ref="M12:M13"/>
    <mergeCell ref="N12:N13"/>
    <mergeCell ref="O12:O13"/>
    <mergeCell ref="P12:P13"/>
    <mergeCell ref="Q12:Q13"/>
    <mergeCell ref="A14:A15"/>
    <mergeCell ref="B14:B15"/>
    <mergeCell ref="C14:C15"/>
    <mergeCell ref="M14:M15"/>
    <mergeCell ref="N14:N15"/>
    <mergeCell ref="O14:O15"/>
    <mergeCell ref="P14:P15"/>
    <mergeCell ref="Q14:Q15"/>
    <mergeCell ref="A16:A17"/>
    <mergeCell ref="B16:B17"/>
    <mergeCell ref="C16:C17"/>
    <mergeCell ref="M16:M17"/>
    <mergeCell ref="N16:N17"/>
    <mergeCell ref="O16:O17"/>
    <mergeCell ref="P16:P17"/>
    <mergeCell ref="Q16:Q17"/>
    <mergeCell ref="A18:A19"/>
    <mergeCell ref="B18:B19"/>
    <mergeCell ref="C18:C19"/>
    <mergeCell ref="M18:M19"/>
    <mergeCell ref="N18:N19"/>
    <mergeCell ref="O18:O19"/>
    <mergeCell ref="P18:P19"/>
    <mergeCell ref="Q18:Q19"/>
    <mergeCell ref="A20:A21"/>
    <mergeCell ref="B20:B21"/>
    <mergeCell ref="C20:C21"/>
    <mergeCell ref="M20:M21"/>
    <mergeCell ref="N20:N21"/>
    <mergeCell ref="O20:O21"/>
    <mergeCell ref="P20:P21"/>
    <mergeCell ref="Q20:Q21"/>
    <mergeCell ref="A22:A23"/>
    <mergeCell ref="B22:B23"/>
    <mergeCell ref="C22:C23"/>
    <mergeCell ref="M22:M23"/>
    <mergeCell ref="N22:N23"/>
    <mergeCell ref="O22:O23"/>
    <mergeCell ref="P22:P23"/>
    <mergeCell ref="Q22:Q23"/>
    <mergeCell ref="A24:A25"/>
    <mergeCell ref="B24:B25"/>
    <mergeCell ref="C24:C25"/>
    <mergeCell ref="M24:M25"/>
    <mergeCell ref="N24:N25"/>
    <mergeCell ref="O24:O25"/>
    <mergeCell ref="P24:P25"/>
    <mergeCell ref="Q24:Q25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C3" sqref="C3"/>
    </sheetView>
  </sheetViews>
  <sheetFormatPr defaultColWidth="9.140625" defaultRowHeight="15" customHeight="1"/>
  <cols>
    <col min="1" max="1" width="5.8515625" style="29" customWidth="1"/>
    <col min="2" max="2" width="22.140625" style="29" customWidth="1"/>
    <col min="3" max="3" width="10.28125" style="29" customWidth="1"/>
    <col min="4" max="4" width="17.421875" style="29" customWidth="1"/>
    <col min="5" max="5" width="9.140625" style="29" customWidth="1"/>
    <col min="6" max="6" width="12.421875" style="29" customWidth="1"/>
    <col min="7" max="7" width="9.140625" style="29" customWidth="1"/>
    <col min="8" max="8" width="7.8515625" style="29" customWidth="1"/>
    <col min="9" max="9" width="7.00390625" style="29" customWidth="1"/>
    <col min="10" max="10" width="9.00390625" style="29" customWidth="1"/>
    <col min="11" max="11" width="7.28125" style="29" customWidth="1"/>
    <col min="12" max="12" width="7.57421875" style="29" customWidth="1"/>
    <col min="13" max="13" width="9.140625" style="29" customWidth="1"/>
    <col min="14" max="14" width="6.8515625" style="29" customWidth="1"/>
    <col min="15" max="15" width="12.00390625" style="29" customWidth="1"/>
    <col min="16" max="16384" width="9.140625" style="29" customWidth="1"/>
  </cols>
  <sheetData>
    <row r="1" spans="3:15" ht="15" customHeight="1">
      <c r="C1" s="30"/>
      <c r="E1" s="30"/>
      <c r="G1" s="30"/>
      <c r="N1" s="31"/>
      <c r="O1" s="31"/>
    </row>
    <row r="2" spans="1:15" ht="15" customHeight="1">
      <c r="A2" s="32"/>
      <c r="B2" s="33"/>
      <c r="C2" s="34"/>
      <c r="E2" s="35"/>
      <c r="F2" s="6" t="s">
        <v>48</v>
      </c>
      <c r="G2" s="6"/>
      <c r="H2" s="6"/>
      <c r="N2" s="31"/>
      <c r="O2" s="31"/>
    </row>
    <row r="3" spans="1:15" ht="15" customHeight="1">
      <c r="A3" s="32"/>
      <c r="B3" s="33" t="s">
        <v>49</v>
      </c>
      <c r="C3" s="34">
        <f>_TPE2</f>
        <v>1260</v>
      </c>
      <c r="D3" s="35"/>
      <c r="E3" s="35"/>
      <c r="F3" s="6" t="s">
        <v>85</v>
      </c>
      <c r="G3" s="6"/>
      <c r="H3" s="6"/>
      <c r="N3" s="31"/>
      <c r="O3" s="31"/>
    </row>
    <row r="4" spans="1:15" ht="15" customHeight="1">
      <c r="A4" s="32"/>
      <c r="B4" s="33" t="s">
        <v>51</v>
      </c>
      <c r="C4" s="34">
        <f>MIN(P:P)</f>
        <v>305</v>
      </c>
      <c r="D4" s="35"/>
      <c r="E4" s="35"/>
      <c r="N4" s="31"/>
      <c r="O4" s="31"/>
    </row>
    <row r="5" spans="1:15" ht="15" customHeight="1">
      <c r="A5" s="34" t="s">
        <v>52</v>
      </c>
      <c r="B5" s="34"/>
      <c r="C5" s="34"/>
      <c r="D5" s="35"/>
      <c r="E5" s="35"/>
      <c r="N5" s="31"/>
      <c r="O5" s="31"/>
    </row>
    <row r="6" spans="1:15" ht="15" customHeight="1">
      <c r="A6" s="36"/>
      <c r="N6" s="31"/>
      <c r="O6" s="31"/>
    </row>
    <row r="7" spans="1:17" ht="15.75" customHeight="1">
      <c r="A7" s="37" t="s">
        <v>53</v>
      </c>
      <c r="B7" s="38" t="s">
        <v>54</v>
      </c>
      <c r="C7" s="39" t="s">
        <v>55</v>
      </c>
      <c r="D7" s="38" t="s">
        <v>56</v>
      </c>
      <c r="E7" s="38" t="s">
        <v>57</v>
      </c>
      <c r="F7" s="38" t="s">
        <v>58</v>
      </c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9" t="s">
        <v>65</v>
      </c>
      <c r="N7" s="38" t="s">
        <v>66</v>
      </c>
      <c r="O7" s="38" t="s">
        <v>67</v>
      </c>
      <c r="P7" s="38" t="s">
        <v>68</v>
      </c>
      <c r="Q7" s="38" t="s">
        <v>69</v>
      </c>
    </row>
    <row r="8" spans="1:17" ht="15" customHeight="1">
      <c r="A8" s="40">
        <f>dane_TP!A2</f>
        <v>1</v>
      </c>
      <c r="B8" s="54" t="str">
        <f>dane_TP!B2</f>
        <v>Aleksandra Gajda
Sylwia Gorzkowska
Magdalena Prawda
Zuzanna Krześniak</v>
      </c>
      <c r="C8" s="41" t="str">
        <f>dane_TP!C2</f>
        <v>TKPZ Brzeźnica</v>
      </c>
      <c r="D8" s="44" t="s">
        <v>86</v>
      </c>
      <c r="E8" s="44"/>
      <c r="F8" s="53" t="s">
        <v>87</v>
      </c>
      <c r="G8" s="44"/>
      <c r="H8" s="44" t="s">
        <v>88</v>
      </c>
      <c r="I8" s="53"/>
      <c r="J8" s="44"/>
      <c r="K8" s="44"/>
      <c r="L8" s="44"/>
      <c r="M8" s="44">
        <v>10</v>
      </c>
      <c r="N8" s="44"/>
      <c r="O8" s="44"/>
      <c r="P8" s="45">
        <f>IF(O8="",90*D9+60*E9+25*F9+15*G9+10*H9+10*I9+30*(J9+K9+L9)+M8+N8,"NKL")</f>
        <v>660</v>
      </c>
      <c r="Q8" s="46">
        <f>IF(P8&lt;&gt;"",IF(ISNUMBER(P8),MAX(1000*(($C$3+$C$4-P8)/$C$3),1),0))</f>
        <v>718.2539682539683</v>
      </c>
    </row>
    <row r="9" spans="1:17" ht="45.75" customHeight="1">
      <c r="A9" s="40"/>
      <c r="B9" s="54"/>
      <c r="C9" s="41"/>
      <c r="D9" s="44">
        <v>6</v>
      </c>
      <c r="E9" s="44"/>
      <c r="F9" s="47">
        <v>4</v>
      </c>
      <c r="G9" s="44"/>
      <c r="H9" s="44">
        <v>1</v>
      </c>
      <c r="I9" s="47"/>
      <c r="J9" s="44"/>
      <c r="K9" s="44"/>
      <c r="L9" s="44"/>
      <c r="M9" s="44"/>
      <c r="N9" s="44"/>
      <c r="O9" s="44"/>
      <c r="P9" s="45"/>
      <c r="Q9" s="46"/>
    </row>
    <row r="10" spans="1:17" ht="15" customHeight="1">
      <c r="A10" s="40">
        <f>dane_TP!A3</f>
        <v>2</v>
      </c>
      <c r="B10" s="54" t="str">
        <f>dane_TP!B3</f>
        <v>Artur Kurek
Adam Furga
Mikołaj Pająk</v>
      </c>
      <c r="C10" s="41" t="str">
        <f>dane_TP!C3</f>
        <v>TKPZ Brzeźnica</v>
      </c>
      <c r="D10" s="53" t="s">
        <v>89</v>
      </c>
      <c r="E10" s="55"/>
      <c r="F10" s="53" t="s">
        <v>90</v>
      </c>
      <c r="G10" s="55"/>
      <c r="H10" s="55"/>
      <c r="I10" s="55"/>
      <c r="J10" s="53">
        <v>4.1</v>
      </c>
      <c r="K10" s="55"/>
      <c r="L10" s="55"/>
      <c r="M10" s="50">
        <v>10</v>
      </c>
      <c r="N10" s="50">
        <v>0</v>
      </c>
      <c r="O10" s="50"/>
      <c r="P10" s="51">
        <f aca="true" t="shared" si="0" ref="P10">IF(O10="",90*D11+60*E11+25*F11+15*G11+10*H11+10*I11+30*(J11+K11+L11)+M10+N10,"NKL")</f>
        <v>1070</v>
      </c>
      <c r="Q10" s="52">
        <f aca="true" t="shared" si="1" ref="Q10">IF(P10&lt;&gt;"",IF(ISNUMBER(P10),MAX(1000*(($C$3+$C$4-P10)/$C$3),1),0))</f>
        <v>392.85714285714283</v>
      </c>
    </row>
    <row r="11" spans="1:17" ht="32.25" customHeight="1">
      <c r="A11" s="40"/>
      <c r="B11" s="54"/>
      <c r="C11" s="41"/>
      <c r="D11" s="53">
        <v>10</v>
      </c>
      <c r="E11" s="53"/>
      <c r="F11" s="53">
        <v>4</v>
      </c>
      <c r="G11" s="53"/>
      <c r="H11" s="53"/>
      <c r="I11" s="53"/>
      <c r="J11" s="53">
        <v>2</v>
      </c>
      <c r="K11" s="53"/>
      <c r="L11" s="53"/>
      <c r="M11" s="50"/>
      <c r="N11" s="50"/>
      <c r="O11" s="50"/>
      <c r="P11" s="51"/>
      <c r="Q11" s="52"/>
    </row>
    <row r="12" spans="1:17" ht="15.75" customHeight="1">
      <c r="A12" s="40">
        <f>dane_TP!A4</f>
        <v>3</v>
      </c>
      <c r="B12" s="56" t="str">
        <f>dane_TP!B4</f>
        <v>Karolina Chałas
Paulina Woźniak
Jakub Banaszek</v>
      </c>
      <c r="C12" s="48" t="str">
        <f>dane_TP!C4</f>
        <v>TKPZ Brzeźnica</v>
      </c>
      <c r="D12" s="53" t="s">
        <v>86</v>
      </c>
      <c r="E12" s="53"/>
      <c r="F12" s="53" t="s">
        <v>87</v>
      </c>
      <c r="G12" s="53"/>
      <c r="H12" s="53" t="s">
        <v>88</v>
      </c>
      <c r="I12" s="53"/>
      <c r="J12" s="53"/>
      <c r="K12" s="53"/>
      <c r="L12" s="53"/>
      <c r="M12" s="44">
        <v>10</v>
      </c>
      <c r="N12" s="44">
        <v>0</v>
      </c>
      <c r="O12" s="44"/>
      <c r="P12" s="45">
        <f>IF(O12="",90*D13+60*E13+25*F13+15*G13+10*H13+10*I13+30*(J13+K13+L13)+M12+N12,"NKL")</f>
        <v>660</v>
      </c>
      <c r="Q12" s="46">
        <f aca="true" t="shared" si="2" ref="Q12">IF(P12&lt;&gt;"",IF(ISNUMBER(P12),MAX(1000*(($C$3+$C$4-P12)/$C$3),1),0))</f>
        <v>718.2539682539683</v>
      </c>
    </row>
    <row r="13" spans="1:17" ht="26.25" customHeight="1">
      <c r="A13" s="40"/>
      <c r="B13" s="56"/>
      <c r="C13" s="48"/>
      <c r="D13" s="47">
        <v>6</v>
      </c>
      <c r="E13" s="47"/>
      <c r="F13" s="47">
        <v>4</v>
      </c>
      <c r="G13" s="47"/>
      <c r="H13" s="47">
        <v>1</v>
      </c>
      <c r="I13" s="47"/>
      <c r="J13" s="47"/>
      <c r="K13" s="47"/>
      <c r="L13" s="47"/>
      <c r="M13" s="44"/>
      <c r="N13" s="44"/>
      <c r="O13" s="44"/>
      <c r="P13" s="45"/>
      <c r="Q13" s="46"/>
    </row>
    <row r="14" spans="1:17" ht="15" customHeight="1">
      <c r="A14" s="40">
        <f>dane_TP!A5</f>
        <v>4</v>
      </c>
      <c r="B14" s="54" t="str">
        <f>dane_TP!B5</f>
        <v>Wioletta Prawda
Natalia Kominek
Aleksandra Banaszek</v>
      </c>
      <c r="C14" s="41" t="str">
        <f>dane_TP!C5</f>
        <v>TKPZ Brzeźnica</v>
      </c>
      <c r="D14" s="55" t="s">
        <v>91</v>
      </c>
      <c r="E14" s="55"/>
      <c r="F14" s="55" t="s">
        <v>92</v>
      </c>
      <c r="G14" s="55"/>
      <c r="H14" s="55"/>
      <c r="I14" s="55" t="s">
        <v>93</v>
      </c>
      <c r="J14" s="55"/>
      <c r="K14" s="55"/>
      <c r="L14" s="55"/>
      <c r="M14" s="50">
        <v>10</v>
      </c>
      <c r="N14" s="50">
        <v>0</v>
      </c>
      <c r="O14" s="50"/>
      <c r="P14" s="51">
        <f aca="true" t="shared" si="3" ref="P14">IF(O14="",90*D15+60*E15+25*F15+15*G15+10*H15+10*I15+30*(J15+K15+L15)+M14+N14,"NKL")</f>
        <v>305</v>
      </c>
      <c r="Q14" s="52">
        <f aca="true" t="shared" si="4" ref="Q14">IF(P14&lt;&gt;"",IF(ISNUMBER(P14),MAX(1000*(($C$3+$C$4-P14)/$C$3),1),0))</f>
        <v>1000</v>
      </c>
    </row>
    <row r="15" spans="1:17" ht="27.75" customHeight="1">
      <c r="A15" s="40"/>
      <c r="B15" s="54"/>
      <c r="C15" s="41"/>
      <c r="D15" s="53">
        <v>1</v>
      </c>
      <c r="E15" s="53"/>
      <c r="F15" s="53">
        <v>7</v>
      </c>
      <c r="G15" s="53"/>
      <c r="H15" s="53"/>
      <c r="I15" s="53">
        <v>3</v>
      </c>
      <c r="J15" s="53"/>
      <c r="K15" s="53"/>
      <c r="L15" s="53"/>
      <c r="M15" s="50"/>
      <c r="N15" s="50"/>
      <c r="O15" s="50"/>
      <c r="P15" s="51"/>
      <c r="Q15" s="52"/>
    </row>
    <row r="16" spans="1:17" ht="15" customHeight="1">
      <c r="A16" s="40">
        <f>dane_TP!A6</f>
        <v>5</v>
      </c>
      <c r="B16" s="56" t="str">
        <f>dane_TP!B6</f>
        <v>Patrycja Gajda
Karolina Kuty
Ilona Wróbel</v>
      </c>
      <c r="C16" s="48" t="str">
        <f>dane_TP!C6</f>
        <v>TKPZ Brzeźnica</v>
      </c>
      <c r="D16" s="53" t="s">
        <v>89</v>
      </c>
      <c r="E16" s="53"/>
      <c r="F16" s="53" t="s">
        <v>90</v>
      </c>
      <c r="G16" s="53"/>
      <c r="H16" s="53"/>
      <c r="I16" s="53"/>
      <c r="J16" s="53">
        <v>4.1</v>
      </c>
      <c r="K16" s="53"/>
      <c r="L16" s="53"/>
      <c r="M16" s="44">
        <v>10</v>
      </c>
      <c r="N16" s="44">
        <v>0</v>
      </c>
      <c r="O16" s="44"/>
      <c r="P16" s="45">
        <f aca="true" t="shared" si="5" ref="P16">IF(O16="",90*D17+60*E17+25*F17+15*G17+10*H17+10*I17+30*(J17+K17+L17)+M16+N16,"NKL")</f>
        <v>1070</v>
      </c>
      <c r="Q16" s="46">
        <f aca="true" t="shared" si="6" ref="Q16">IF(P16&lt;&gt;"",IF(ISNUMBER(P16),MAX(1000*(($C$3+$C$4-P16)/$C$3),1),0))</f>
        <v>392.85714285714283</v>
      </c>
    </row>
    <row r="17" spans="1:17" ht="29.25" customHeight="1">
      <c r="A17" s="40"/>
      <c r="B17" s="56"/>
      <c r="C17" s="48"/>
      <c r="D17" s="47">
        <v>10</v>
      </c>
      <c r="E17" s="47"/>
      <c r="F17" s="47">
        <v>4</v>
      </c>
      <c r="G17" s="47"/>
      <c r="H17" s="47"/>
      <c r="I17" s="47"/>
      <c r="J17" s="47">
        <v>2</v>
      </c>
      <c r="K17" s="47"/>
      <c r="L17" s="47"/>
      <c r="M17" s="44"/>
      <c r="N17" s="44"/>
      <c r="O17" s="44"/>
      <c r="P17" s="45"/>
      <c r="Q17" s="46"/>
    </row>
    <row r="18" spans="1:17" ht="15" customHeight="1">
      <c r="A18" s="40">
        <f>dane_TP!A7</f>
        <v>7</v>
      </c>
      <c r="B18" s="54" t="str">
        <f>dane_TP!B7</f>
        <v>Oskar Kozłowski
Hubert Krzosek</v>
      </c>
      <c r="C18" s="41" t="str">
        <f>dane_TP!C7</f>
        <v>ZSP Białobrzegi</v>
      </c>
      <c r="D18" s="55" t="s">
        <v>94</v>
      </c>
      <c r="E18" s="55"/>
      <c r="F18" s="55">
        <v>5</v>
      </c>
      <c r="G18" s="55"/>
      <c r="H18" s="55">
        <v>5</v>
      </c>
      <c r="I18" s="55"/>
      <c r="J18" s="55"/>
      <c r="K18" s="55"/>
      <c r="L18" s="55"/>
      <c r="M18" s="50">
        <v>10</v>
      </c>
      <c r="N18" s="50">
        <v>160</v>
      </c>
      <c r="O18" s="50"/>
      <c r="P18" s="51">
        <f aca="true" t="shared" si="7" ref="P18">IF(O18="",90*D19+60*E19+25*F19+15*G19+10*H19+10*I19+30*(J19+K19+L19)+M18+N18,"NKL")</f>
        <v>1015</v>
      </c>
      <c r="Q18" s="52">
        <f aca="true" t="shared" si="8" ref="Q18">IF(P18&lt;&gt;"",IF(ISNUMBER(P18),MAX(1000*(($C$3+$C$4-P18)/$C$3),1),0))</f>
        <v>436.5079365079365</v>
      </c>
    </row>
    <row r="19" spans="1:17" ht="36.75" customHeight="1">
      <c r="A19" s="40"/>
      <c r="B19" s="54"/>
      <c r="C19" s="41"/>
      <c r="D19" s="53">
        <v>9</v>
      </c>
      <c r="E19" s="53"/>
      <c r="F19" s="53">
        <v>1</v>
      </c>
      <c r="G19" s="53"/>
      <c r="H19" s="53">
        <v>1</v>
      </c>
      <c r="I19" s="53"/>
      <c r="J19" s="53"/>
      <c r="K19" s="53"/>
      <c r="L19" s="53"/>
      <c r="M19" s="50"/>
      <c r="N19" s="50"/>
      <c r="O19" s="50"/>
      <c r="P19" s="51"/>
      <c r="Q19" s="52"/>
    </row>
    <row r="20" spans="1:17" ht="15" customHeight="1">
      <c r="A20" s="40">
        <f>dane_TP!A8</f>
        <v>9</v>
      </c>
      <c r="B20" s="41" t="str">
        <f>dane_TP!B8</f>
        <v>Anna Trybuła
Ewelina Czarnecka</v>
      </c>
      <c r="C20" s="41" t="str">
        <f>dane_TP!C8</f>
        <v>Lemury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 t="s">
        <v>95</v>
      </c>
      <c r="P20" s="45" t="str">
        <f aca="true" t="shared" si="9" ref="P20">IF(O20="",90*D21+60*E21+25*F21+15*G21+10*H21+10*I21+30*(J21+K21+L21)+M20+N20,"NKL")</f>
        <v>NKL</v>
      </c>
      <c r="Q20" s="46">
        <f aca="true" t="shared" si="10" ref="Q20">IF(P20&lt;&gt;"",IF(ISNUMBER(P20),MAX(1000*(($C$3+$C$4-P20)/$C$3),1),0))</f>
        <v>0</v>
      </c>
    </row>
    <row r="21" spans="1:17" ht="15.75" customHeight="1">
      <c r="A21" s="40"/>
      <c r="B21" s="41"/>
      <c r="C21" s="41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6"/>
    </row>
    <row r="22" spans="1:17" ht="15" customHeight="1">
      <c r="A22" s="40">
        <f>dane_TP!A9</f>
        <v>10</v>
      </c>
      <c r="B22" s="41" t="str">
        <f>dane_TP!B9</f>
        <v>Norbert Czarnecki
Mirosław Trybuła
Zalewski Sławomir</v>
      </c>
      <c r="C22" s="41" t="str">
        <f>dane_TP!C9</f>
        <v> 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 t="s">
        <v>95</v>
      </c>
      <c r="P22" s="45" t="str">
        <f aca="true" t="shared" si="11" ref="P22">IF(O22="",90*D23+60*E23+25*F23+15*G23+10*H23+10*I23+30*(J23+K23+L23)+M22+N22,"NKL")</f>
        <v>NKL</v>
      </c>
      <c r="Q22" s="46">
        <f aca="true" t="shared" si="12" ref="Q22">IF(P22&lt;&gt;"",IF(ISNUMBER(P22),MAX(1000*(($C$3+$C$4-P22)/$C$3),1),0))</f>
        <v>0</v>
      </c>
    </row>
    <row r="23" spans="1:17" ht="15.75" customHeight="1">
      <c r="A23" s="40"/>
      <c r="B23" s="41"/>
      <c r="C23" s="41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46"/>
    </row>
    <row r="24" spans="1:17" ht="15" customHeight="1">
      <c r="A24" s="37">
        <f>dane_TP!A10</f>
        <v>11</v>
      </c>
      <c r="B24" s="41" t="str">
        <f>dane_TP!B10</f>
        <v>Róża Morąg
Julia Kozłowska</v>
      </c>
      <c r="C24" s="41" t="str">
        <f>dane_TP!C10</f>
        <v>PG 23 Radom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 t="s">
        <v>95</v>
      </c>
      <c r="P24" s="45" t="str">
        <f aca="true" t="shared" si="13" ref="P24">IF(O24="",90*D25+60*E25+25*F25+15*G25+10*H25+10*I25+30*(J25+K25+L25)+M24+N24,"NKL")</f>
        <v>NKL</v>
      </c>
      <c r="Q24" s="46">
        <f aca="true" t="shared" si="14" ref="Q24">IF(P24&lt;&gt;"",IF(ISNUMBER(P24),MAX(1000*(($C$3+$C$4-P24)/$C$3),1),0))</f>
        <v>0</v>
      </c>
    </row>
    <row r="25" spans="1:17" ht="15.75" customHeight="1">
      <c r="A25" s="37"/>
      <c r="B25" s="41"/>
      <c r="C25" s="4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46"/>
    </row>
  </sheetData>
  <sheetProtection selectLockedCells="1" selectUnlockedCells="1"/>
  <mergeCells count="74">
    <mergeCell ref="F2:H2"/>
    <mergeCell ref="F3:H3"/>
    <mergeCell ref="A8:A9"/>
    <mergeCell ref="B8:B9"/>
    <mergeCell ref="C8:C9"/>
    <mergeCell ref="M8:M9"/>
    <mergeCell ref="N8:N9"/>
    <mergeCell ref="O8:O9"/>
    <mergeCell ref="P8:P9"/>
    <mergeCell ref="Q8:Q9"/>
    <mergeCell ref="A10:A11"/>
    <mergeCell ref="B10:B11"/>
    <mergeCell ref="C10:C11"/>
    <mergeCell ref="M10:M11"/>
    <mergeCell ref="N10:N11"/>
    <mergeCell ref="O10:O11"/>
    <mergeCell ref="P10:P11"/>
    <mergeCell ref="Q10:Q11"/>
    <mergeCell ref="A12:A13"/>
    <mergeCell ref="B12:B13"/>
    <mergeCell ref="C12:C13"/>
    <mergeCell ref="M12:M13"/>
    <mergeCell ref="N12:N13"/>
    <mergeCell ref="O12:O13"/>
    <mergeCell ref="P12:P13"/>
    <mergeCell ref="Q12:Q13"/>
    <mergeCell ref="A14:A15"/>
    <mergeCell ref="B14:B15"/>
    <mergeCell ref="C14:C15"/>
    <mergeCell ref="M14:M15"/>
    <mergeCell ref="N14:N15"/>
    <mergeCell ref="O14:O15"/>
    <mergeCell ref="P14:P15"/>
    <mergeCell ref="Q14:Q15"/>
    <mergeCell ref="A16:A17"/>
    <mergeCell ref="B16:B17"/>
    <mergeCell ref="C16:C17"/>
    <mergeCell ref="M16:M17"/>
    <mergeCell ref="N16:N17"/>
    <mergeCell ref="O16:O17"/>
    <mergeCell ref="P16:P17"/>
    <mergeCell ref="Q16:Q17"/>
    <mergeCell ref="A18:A19"/>
    <mergeCell ref="B18:B19"/>
    <mergeCell ref="C18:C19"/>
    <mergeCell ref="M18:M19"/>
    <mergeCell ref="N18:N19"/>
    <mergeCell ref="O18:O19"/>
    <mergeCell ref="P18:P19"/>
    <mergeCell ref="Q18:Q19"/>
    <mergeCell ref="A20:A21"/>
    <mergeCell ref="B20:B21"/>
    <mergeCell ref="C20:C21"/>
    <mergeCell ref="M20:M21"/>
    <mergeCell ref="N20:N21"/>
    <mergeCell ref="O20:O21"/>
    <mergeCell ref="P20:P21"/>
    <mergeCell ref="Q20:Q21"/>
    <mergeCell ref="A22:A23"/>
    <mergeCell ref="B22:B23"/>
    <mergeCell ref="C22:C23"/>
    <mergeCell ref="M22:M23"/>
    <mergeCell ref="N22:N23"/>
    <mergeCell ref="O22:O23"/>
    <mergeCell ref="P22:P23"/>
    <mergeCell ref="Q22:Q23"/>
    <mergeCell ref="A24:A25"/>
    <mergeCell ref="B24:B25"/>
    <mergeCell ref="C24:C25"/>
    <mergeCell ref="M24:M25"/>
    <mergeCell ref="N24:N25"/>
    <mergeCell ref="O24:O25"/>
    <mergeCell ref="P24:P25"/>
    <mergeCell ref="Q24:Q25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"/>
  <sheetViews>
    <sheetView zoomScale="80" zoomScaleNormal="80" workbookViewId="0" topLeftCell="A1">
      <selection activeCell="T4" sqref="T4"/>
    </sheetView>
  </sheetViews>
  <sheetFormatPr defaultColWidth="9.140625" defaultRowHeight="12.75" customHeight="1"/>
  <cols>
    <col min="1" max="1" width="3.140625" style="0" customWidth="1"/>
    <col min="2" max="2" width="4.8515625" style="0" customWidth="1"/>
    <col min="3" max="3" width="20.00390625" style="0" customWidth="1"/>
    <col min="4" max="4" width="14.421875" style="0" customWidth="1"/>
    <col min="5" max="5" width="5.7109375" style="0" customWidth="1"/>
    <col min="6" max="6" width="8.421875" style="0" customWidth="1"/>
    <col min="7" max="7" width="4.421875" style="0" customWidth="1"/>
    <col min="8" max="8" width="5.140625" style="0" customWidth="1"/>
    <col min="9" max="9" width="8.421875" style="0" customWidth="1"/>
    <col min="10" max="10" width="4.7109375" style="0" customWidth="1"/>
    <col min="11" max="11" width="5.140625" style="0" customWidth="1"/>
    <col min="12" max="12" width="8.7109375" style="0" customWidth="1"/>
    <col min="13" max="13" width="4.7109375" style="0" customWidth="1"/>
    <col min="14" max="14" width="5.7109375" style="0" customWidth="1"/>
    <col min="15" max="15" width="8.140625" style="0" customWidth="1"/>
    <col min="16" max="16" width="5.7109375" style="0" customWidth="1"/>
    <col min="17" max="17" width="6.57421875" style="0" customWidth="1"/>
    <col min="18" max="18" width="8.7109375" style="0" customWidth="1"/>
    <col min="19" max="19" width="5.7109375" style="0" customWidth="1"/>
    <col min="20" max="21" width="8.7109375" style="0" customWidth="1"/>
    <col min="22" max="22" width="7.140625" style="0" customWidth="1"/>
    <col min="23" max="16384" width="8.7109375" style="0" customWidth="1"/>
  </cols>
  <sheetData>
    <row r="1" spans="1:22" ht="13.5" customHeight="1">
      <c r="A1" s="6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7"/>
      <c r="U1" s="57"/>
      <c r="V1" s="58"/>
    </row>
    <row r="2" spans="1:22" ht="12.75" customHeight="1">
      <c r="A2" s="9" t="s">
        <v>37</v>
      </c>
      <c r="B2" s="10" t="s">
        <v>38</v>
      </c>
      <c r="C2" s="11" t="s">
        <v>39</v>
      </c>
      <c r="D2" s="11" t="s">
        <v>40</v>
      </c>
      <c r="E2" s="12" t="s">
        <v>41</v>
      </c>
      <c r="F2" s="12"/>
      <c r="G2" s="12"/>
      <c r="H2" s="12" t="s">
        <v>42</v>
      </c>
      <c r="I2" s="12"/>
      <c r="J2" s="12"/>
      <c r="K2" s="12" t="s">
        <v>97</v>
      </c>
      <c r="L2" s="12"/>
      <c r="M2" s="12"/>
      <c r="N2" s="12" t="s">
        <v>98</v>
      </c>
      <c r="O2" s="12"/>
      <c r="P2" s="12"/>
      <c r="Q2" s="12" t="s">
        <v>99</v>
      </c>
      <c r="R2" s="12"/>
      <c r="S2" s="12"/>
      <c r="T2" s="12" t="s">
        <v>100</v>
      </c>
      <c r="U2" s="12"/>
      <c r="V2" s="59" t="s">
        <v>101</v>
      </c>
    </row>
    <row r="3" spans="1:22" ht="48.75" customHeight="1">
      <c r="A3" s="9"/>
      <c r="B3" s="10"/>
      <c r="C3" s="11"/>
      <c r="D3" s="11"/>
      <c r="E3" s="9" t="s">
        <v>44</v>
      </c>
      <c r="F3" s="14" t="s">
        <v>45</v>
      </c>
      <c r="G3" s="9" t="s">
        <v>46</v>
      </c>
      <c r="H3" s="9" t="s">
        <v>44</v>
      </c>
      <c r="I3" s="14" t="s">
        <v>45</v>
      </c>
      <c r="J3" s="9" t="s">
        <v>46</v>
      </c>
      <c r="K3" s="9" t="s">
        <v>44</v>
      </c>
      <c r="L3" s="14" t="s">
        <v>45</v>
      </c>
      <c r="M3" s="9" t="s">
        <v>46</v>
      </c>
      <c r="N3" s="9" t="s">
        <v>44</v>
      </c>
      <c r="O3" s="14" t="s">
        <v>45</v>
      </c>
      <c r="P3" s="9" t="s">
        <v>46</v>
      </c>
      <c r="Q3" s="9" t="s">
        <v>44</v>
      </c>
      <c r="R3" s="14" t="s">
        <v>45</v>
      </c>
      <c r="S3" s="9" t="s">
        <v>46</v>
      </c>
      <c r="T3" s="14" t="s">
        <v>45</v>
      </c>
      <c r="U3" s="15" t="s">
        <v>46</v>
      </c>
      <c r="V3" s="59"/>
    </row>
    <row r="4" spans="1:22" ht="25.5" customHeight="1">
      <c r="A4" s="60">
        <f aca="true" t="shared" si="0" ref="A4:A9">U4</f>
        <v>1</v>
      </c>
      <c r="B4" s="61">
        <f>dane_TU!A3</f>
        <v>105</v>
      </c>
      <c r="C4" s="61" t="str">
        <f>dane_TU!B3</f>
        <v>Magda Maszewska
Jarosław Chodkowski</v>
      </c>
      <c r="D4" s="61" t="str">
        <f>dane_TU!C3</f>
        <v>Chrupki SKPB Trail Team</v>
      </c>
      <c r="E4" s="62">
        <f>TU_E1!P10</f>
        <v>192</v>
      </c>
      <c r="F4" s="63">
        <f aca="true" t="shared" si="1" ref="F4:F9">IF(E4&lt;&gt;"",IF(ISNUMBER(E4),MAX(1000/_TUE1*(_TUE1-E4+MIN(E$2:E$91)),1),0),"")</f>
        <v>1000</v>
      </c>
      <c r="G4" s="60">
        <f aca="true" t="shared" si="2" ref="G4:G9">IF(F4&lt;&gt;"",RANK(F4,F$2:F$91),"")</f>
        <v>1</v>
      </c>
      <c r="H4" s="62">
        <f>TU_E2!P10</f>
        <v>4</v>
      </c>
      <c r="I4" s="63">
        <f aca="true" t="shared" si="3" ref="I4:I9">IF(H4&lt;&gt;"",IF(ISNUMBER(H4),MAX(1000/_TUE2*(_TUE2-H4+MIN(H$2:H$91)),1),0),"")</f>
        <v>1000</v>
      </c>
      <c r="J4" s="60">
        <f aca="true" t="shared" si="4" ref="J4:J9">IF(I4&lt;&gt;"",RANK(I4,I$2:I$91),"")</f>
        <v>1</v>
      </c>
      <c r="K4" s="62">
        <f>TU_E3!P10</f>
        <v>10</v>
      </c>
      <c r="L4" s="63">
        <f aca="true" t="shared" si="5" ref="L4:L9">IF(K4&lt;&gt;"",IF(ISNUMBER(K4),MAX(1000/_TUE3*(_TUE3-K4+MIN(K$2:K$91)),1),0),"")</f>
        <v>1000</v>
      </c>
      <c r="M4" s="60">
        <f aca="true" t="shared" si="6" ref="M4:M9">IF(L4&lt;&gt;"",RANK(L4,L$2:L$91),"")</f>
        <v>1</v>
      </c>
      <c r="N4" s="62">
        <f>TU_E4!P10</f>
        <v>95</v>
      </c>
      <c r="O4" s="63">
        <f aca="true" t="shared" si="7" ref="O4:O9">IF(N4&lt;&gt;"",IF(ISNUMBER(N4),MAX(1000/_TUE4*(_TUE4-N4+MIN(N$2:N$91)),1),0),"")</f>
        <v>1000</v>
      </c>
      <c r="P4" s="60">
        <f aca="true" t="shared" si="8" ref="P4:P9">IF(O4&lt;&gt;"",RANK(O4,O$2:O$91),"")</f>
        <v>1</v>
      </c>
      <c r="Q4" s="62">
        <f>TU_E5!P10</f>
        <v>96</v>
      </c>
      <c r="R4" s="63">
        <f aca="true" t="shared" si="9" ref="R4:R9">IF(Q4&lt;&gt;"",IF(ISNUMBER(Q4),MAX(1000/_TUE5*(_TUE5-Q4+MIN(Q$2:Q$91)),1),0),"")</f>
        <v>1000</v>
      </c>
      <c r="S4" s="60">
        <f aca="true" t="shared" si="10" ref="S4:S9">IF(R4&lt;&gt;"",RANK(R4,R$2:R$91),"")</f>
        <v>1</v>
      </c>
      <c r="T4" s="63">
        <f aca="true" t="shared" si="11" ref="T4:T9">SUM(F4,I4,L4,O4,R4)</f>
        <v>5000</v>
      </c>
      <c r="U4" s="64">
        <f aca="true" t="shared" si="12" ref="U4:U9">IF(T4&lt;&gt;"",RANK(T4,T$2:T$91),"")</f>
        <v>1</v>
      </c>
      <c r="V4" s="65">
        <f>(T4*1000)/$T$4</f>
        <v>1000</v>
      </c>
    </row>
    <row r="5" spans="1:22" ht="25.5" customHeight="1">
      <c r="A5" s="60">
        <f t="shared" si="0"/>
        <v>2</v>
      </c>
      <c r="B5" s="61">
        <f>dane_TU!A4</f>
        <v>106</v>
      </c>
      <c r="C5" s="61" t="str">
        <f>dane_TU!B4</f>
        <v>Michal Murgrabia
Krzysztof Chojnowski</v>
      </c>
      <c r="D5" s="61" t="str">
        <f>dane_TU!C4</f>
        <v>Bracia Koala
Skierniewice</v>
      </c>
      <c r="E5" s="62">
        <f>TU_E1!P12</f>
        <v>369</v>
      </c>
      <c r="F5" s="63">
        <f t="shared" si="1"/>
        <v>859.5238095238095</v>
      </c>
      <c r="G5" s="60">
        <f t="shared" si="2"/>
        <v>2</v>
      </c>
      <c r="H5" s="62">
        <f>TU_E2!P12</f>
        <v>163</v>
      </c>
      <c r="I5" s="63">
        <f t="shared" si="3"/>
        <v>852.7777777777778</v>
      </c>
      <c r="J5" s="60">
        <f t="shared" si="4"/>
        <v>2</v>
      </c>
      <c r="K5" s="62">
        <f>TU_E3!P12</f>
        <v>35</v>
      </c>
      <c r="L5" s="63">
        <f t="shared" si="5"/>
        <v>981.4814814814814</v>
      </c>
      <c r="M5" s="60">
        <f t="shared" si="6"/>
        <v>2</v>
      </c>
      <c r="N5" s="62">
        <f>TU_E4!P12</f>
        <v>1555</v>
      </c>
      <c r="O5" s="63">
        <f t="shared" si="7"/>
        <v>1</v>
      </c>
      <c r="P5" s="60">
        <f t="shared" si="8"/>
        <v>3</v>
      </c>
      <c r="Q5" s="62">
        <f>TU_E5!P12</f>
        <v>403</v>
      </c>
      <c r="R5" s="63">
        <f t="shared" si="9"/>
        <v>795.3333333333333</v>
      </c>
      <c r="S5" s="60">
        <f t="shared" si="10"/>
        <v>2</v>
      </c>
      <c r="T5" s="63">
        <f t="shared" si="11"/>
        <v>3490.1164021164022</v>
      </c>
      <c r="U5" s="64">
        <f t="shared" si="12"/>
        <v>2</v>
      </c>
      <c r="V5" s="66">
        <f aca="true" t="shared" si="13" ref="V5:V9">(T5*1000)/$T$4</f>
        <v>698.0232804232804</v>
      </c>
    </row>
    <row r="6" spans="1:22" ht="38.25" customHeight="1">
      <c r="A6" s="60">
        <f t="shared" si="0"/>
        <v>3</v>
      </c>
      <c r="B6" s="61">
        <f>dane_TU!A5</f>
        <v>107</v>
      </c>
      <c r="C6" s="61" t="str">
        <f>dane_TU!B5</f>
        <v>Zuzanna Żak
Luiza Rosłanowska
Urszula Piasecka</v>
      </c>
      <c r="D6" s="61" t="str">
        <f>dane_TU!C5</f>
        <v>PG 23 Radom</v>
      </c>
      <c r="E6" s="62">
        <f>TU_E1!P14</f>
        <v>595</v>
      </c>
      <c r="F6" s="63">
        <f t="shared" si="1"/>
        <v>680.1587301587301</v>
      </c>
      <c r="G6" s="60">
        <f t="shared" si="2"/>
        <v>3</v>
      </c>
      <c r="H6" s="62">
        <f>TU_E2!P14</f>
        <v>895</v>
      </c>
      <c r="I6" s="63">
        <f t="shared" si="3"/>
        <v>175</v>
      </c>
      <c r="J6" s="60">
        <f t="shared" si="4"/>
        <v>4</v>
      </c>
      <c r="K6" s="62" t="str">
        <f>TU_E3!P14</f>
        <v>NKL</v>
      </c>
      <c r="L6" s="63">
        <f t="shared" si="5"/>
        <v>0</v>
      </c>
      <c r="M6" s="60">
        <f t="shared" si="6"/>
        <v>6</v>
      </c>
      <c r="N6" s="62">
        <f>TU_E4!P14</f>
        <v>1105</v>
      </c>
      <c r="O6" s="63">
        <f t="shared" si="7"/>
        <v>198.4126984126984</v>
      </c>
      <c r="P6" s="60">
        <f t="shared" si="8"/>
        <v>2</v>
      </c>
      <c r="Q6" s="62">
        <f>TU_E5!P14</f>
        <v>835</v>
      </c>
      <c r="R6" s="63">
        <f t="shared" si="9"/>
        <v>507.3333333333333</v>
      </c>
      <c r="S6" s="60">
        <f t="shared" si="10"/>
        <v>3</v>
      </c>
      <c r="T6" s="63">
        <f t="shared" si="11"/>
        <v>1560.9047619047617</v>
      </c>
      <c r="U6" s="64">
        <f t="shared" si="12"/>
        <v>3</v>
      </c>
      <c r="V6" s="66">
        <f t="shared" si="13"/>
        <v>312.1809523809523</v>
      </c>
    </row>
    <row r="7" spans="1:22" ht="25.5" customHeight="1">
      <c r="A7" s="60">
        <f t="shared" si="0"/>
        <v>4</v>
      </c>
      <c r="B7" s="61">
        <f>dane_TU!A2</f>
        <v>101</v>
      </c>
      <c r="C7" s="61" t="str">
        <f>dane_TU!B2</f>
        <v>Joanna Badowska
Wioletta Ziemnicka</v>
      </c>
      <c r="D7" s="61" t="str">
        <f>dane_TU!C2</f>
        <v>ZSP Białobrzegi</v>
      </c>
      <c r="E7" s="62" t="str">
        <f>TU_E1!P8</f>
        <v>NKL</v>
      </c>
      <c r="F7" s="63">
        <f t="shared" si="1"/>
        <v>0</v>
      </c>
      <c r="G7" s="60">
        <f t="shared" si="2"/>
        <v>5</v>
      </c>
      <c r="H7" s="62">
        <f>TU_E2!P8</f>
        <v>565</v>
      </c>
      <c r="I7" s="63">
        <f t="shared" si="3"/>
        <v>480.55555555555554</v>
      </c>
      <c r="J7" s="60">
        <f t="shared" si="4"/>
        <v>3</v>
      </c>
      <c r="K7" s="62">
        <f>TU_E3!P8</f>
        <v>226</v>
      </c>
      <c r="L7" s="63">
        <f t="shared" si="5"/>
        <v>840</v>
      </c>
      <c r="M7" s="60">
        <f t="shared" si="6"/>
        <v>4</v>
      </c>
      <c r="N7" s="62" t="str">
        <f>TU_E4!P8</f>
        <v>NKL</v>
      </c>
      <c r="O7" s="63">
        <f t="shared" si="7"/>
        <v>0</v>
      </c>
      <c r="P7" s="60">
        <f t="shared" si="8"/>
        <v>4</v>
      </c>
      <c r="Q7" s="62" t="str">
        <f>TU_E5!P8</f>
        <v>NKL</v>
      </c>
      <c r="R7" s="63">
        <f t="shared" si="9"/>
        <v>0</v>
      </c>
      <c r="S7" s="60">
        <f t="shared" si="10"/>
        <v>4</v>
      </c>
      <c r="T7" s="63">
        <f t="shared" si="11"/>
        <v>1320.5555555555557</v>
      </c>
      <c r="U7" s="64">
        <f t="shared" si="12"/>
        <v>4</v>
      </c>
      <c r="V7" s="66">
        <f t="shared" si="13"/>
        <v>264.11111111111114</v>
      </c>
    </row>
    <row r="8" spans="1:22" ht="25.5" customHeight="1">
      <c r="A8" s="60">
        <f t="shared" si="0"/>
        <v>5</v>
      </c>
      <c r="B8" s="61">
        <f>dane_TU!A7</f>
        <v>109</v>
      </c>
      <c r="C8" s="61" t="str">
        <f>dane_TU!B7</f>
        <v>Przybylski Andrzej
Kozakiewicz Ewa</v>
      </c>
      <c r="D8" s="61" t="str">
        <f>dane_TU!C7</f>
        <v>PG 23 Radom</v>
      </c>
      <c r="E8" s="62" t="str">
        <f>TU_E1!P18</f>
        <v>NKL</v>
      </c>
      <c r="F8" s="63">
        <f t="shared" si="1"/>
        <v>0</v>
      </c>
      <c r="G8" s="60">
        <f t="shared" si="2"/>
        <v>5</v>
      </c>
      <c r="H8" s="62">
        <f>TU_E2!P18</f>
        <v>1240</v>
      </c>
      <c r="I8" s="63">
        <f t="shared" si="3"/>
        <v>1</v>
      </c>
      <c r="J8" s="60">
        <f t="shared" si="4"/>
        <v>6</v>
      </c>
      <c r="K8" s="62">
        <f>TU_E3!P18</f>
        <v>65</v>
      </c>
      <c r="L8" s="63">
        <f t="shared" si="5"/>
        <v>959.2592592592592</v>
      </c>
      <c r="M8" s="60">
        <f t="shared" si="6"/>
        <v>3</v>
      </c>
      <c r="N8" s="62" t="str">
        <f>TU_E4!P18</f>
        <v>NKL</v>
      </c>
      <c r="O8" s="63">
        <f t="shared" si="7"/>
        <v>0</v>
      </c>
      <c r="P8" s="60">
        <f t="shared" si="8"/>
        <v>4</v>
      </c>
      <c r="Q8" s="62" t="str">
        <f>TU_E5!P18</f>
        <v>NKL</v>
      </c>
      <c r="R8" s="63">
        <f t="shared" si="9"/>
        <v>0</v>
      </c>
      <c r="S8" s="60">
        <f t="shared" si="10"/>
        <v>4</v>
      </c>
      <c r="T8" s="63">
        <f t="shared" si="11"/>
        <v>960.2592592592592</v>
      </c>
      <c r="U8" s="64">
        <f t="shared" si="12"/>
        <v>5</v>
      </c>
      <c r="V8" s="66">
        <f t="shared" si="13"/>
        <v>192.05185185185184</v>
      </c>
    </row>
    <row r="9" spans="1:22" ht="25.5" customHeight="1">
      <c r="A9" s="60">
        <f t="shared" si="0"/>
        <v>6</v>
      </c>
      <c r="B9" s="61">
        <f>dane_TU!A6</f>
        <v>108</v>
      </c>
      <c r="C9" s="61" t="str">
        <f>dane_TU!B6</f>
        <v>Rafał Łyżwa
Kuba Kosterna</v>
      </c>
      <c r="D9" s="61" t="str">
        <f>dane_TU!C6</f>
        <v>PG 23 Radom</v>
      </c>
      <c r="E9" s="62">
        <f>TU_E1!P16</f>
        <v>650</v>
      </c>
      <c r="F9" s="63">
        <f t="shared" si="1"/>
        <v>636.5079365079365</v>
      </c>
      <c r="G9" s="60">
        <f t="shared" si="2"/>
        <v>4</v>
      </c>
      <c r="H9" s="62">
        <f>TU_E2!P16</f>
        <v>1005</v>
      </c>
      <c r="I9" s="63">
        <f t="shared" si="3"/>
        <v>73.14814814814815</v>
      </c>
      <c r="J9" s="60">
        <f t="shared" si="4"/>
        <v>5</v>
      </c>
      <c r="K9" s="62">
        <f>TU_E3!P16</f>
        <v>1200</v>
      </c>
      <c r="L9" s="63">
        <f t="shared" si="5"/>
        <v>118.5185185185185</v>
      </c>
      <c r="M9" s="60">
        <f t="shared" si="6"/>
        <v>5</v>
      </c>
      <c r="N9" s="62" t="str">
        <f>TU_E4!P16</f>
        <v>NKL</v>
      </c>
      <c r="O9" s="63">
        <f t="shared" si="7"/>
        <v>0</v>
      </c>
      <c r="P9" s="60">
        <f t="shared" si="8"/>
        <v>4</v>
      </c>
      <c r="Q9" s="62" t="str">
        <f>TU_E5!P16</f>
        <v>NKL</v>
      </c>
      <c r="R9" s="63">
        <f t="shared" si="9"/>
        <v>0</v>
      </c>
      <c r="S9" s="60">
        <f t="shared" si="10"/>
        <v>4</v>
      </c>
      <c r="T9" s="63">
        <f t="shared" si="11"/>
        <v>828.1746031746031</v>
      </c>
      <c r="U9" s="64">
        <f t="shared" si="12"/>
        <v>6</v>
      </c>
      <c r="V9" s="66">
        <f t="shared" si="13"/>
        <v>165.6349206349206</v>
      </c>
    </row>
  </sheetData>
  <sheetProtection selectLockedCells="1" selectUnlockedCells="1"/>
  <mergeCells count="12">
    <mergeCell ref="A1:S1"/>
    <mergeCell ref="A2:A3"/>
    <mergeCell ref="B2:B3"/>
    <mergeCell ref="C2:C3"/>
    <mergeCell ref="D2:D3"/>
    <mergeCell ref="E2:G2"/>
    <mergeCell ref="H2:J2"/>
    <mergeCell ref="K2:M2"/>
    <mergeCell ref="N2:P2"/>
    <mergeCell ref="Q2:S2"/>
    <mergeCell ref="T2:U2"/>
    <mergeCell ref="V2:V3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workbookViewId="0" topLeftCell="A1">
      <selection activeCell="E7" sqref="E7"/>
    </sheetView>
  </sheetViews>
  <sheetFormatPr defaultColWidth="9.140625" defaultRowHeight="15" customHeight="1"/>
  <cols>
    <col min="1" max="1" width="5.8515625" style="29" customWidth="1"/>
    <col min="2" max="2" width="16.7109375" style="29" customWidth="1"/>
    <col min="3" max="3" width="10.28125" style="29" customWidth="1"/>
    <col min="4" max="7" width="9.140625" style="29" customWidth="1"/>
    <col min="8" max="8" width="7.8515625" style="29" customWidth="1"/>
    <col min="9" max="9" width="7.00390625" style="29" customWidth="1"/>
    <col min="10" max="10" width="9.00390625" style="29" customWidth="1"/>
    <col min="11" max="11" width="7.28125" style="29" customWidth="1"/>
    <col min="12" max="12" width="7.57421875" style="29" customWidth="1"/>
    <col min="13" max="13" width="9.140625" style="29" customWidth="1"/>
    <col min="14" max="14" width="6.8515625" style="29" customWidth="1"/>
    <col min="15" max="16384" width="9.140625" style="29" customWidth="1"/>
  </cols>
  <sheetData>
    <row r="1" spans="3:15" ht="15" customHeight="1">
      <c r="C1" s="30"/>
      <c r="E1" s="30"/>
      <c r="G1" s="30"/>
      <c r="N1" s="31"/>
      <c r="O1" s="31"/>
    </row>
    <row r="2" spans="1:15" ht="15" customHeight="1">
      <c r="A2" s="32"/>
      <c r="B2" s="33"/>
      <c r="C2" s="34"/>
      <c r="E2" s="35"/>
      <c r="F2" s="6" t="s">
        <v>102</v>
      </c>
      <c r="G2" s="6"/>
      <c r="H2" s="6"/>
      <c r="N2" s="31"/>
      <c r="O2" s="31"/>
    </row>
    <row r="3" spans="1:15" ht="15" customHeight="1">
      <c r="A3" s="32"/>
      <c r="B3" s="33" t="s">
        <v>49</v>
      </c>
      <c r="C3" s="34">
        <f>_TUE1</f>
        <v>1260</v>
      </c>
      <c r="D3" s="35"/>
      <c r="E3" s="35"/>
      <c r="F3" s="6" t="s">
        <v>50</v>
      </c>
      <c r="G3" s="6"/>
      <c r="H3" s="6"/>
      <c r="N3" s="31"/>
      <c r="O3" s="31"/>
    </row>
    <row r="4" spans="1:15" ht="15" customHeight="1">
      <c r="A4" s="32"/>
      <c r="B4" s="33" t="s">
        <v>51</v>
      </c>
      <c r="C4" s="34">
        <f>MIN(P:P)</f>
        <v>192</v>
      </c>
      <c r="D4" s="35"/>
      <c r="E4" s="35"/>
      <c r="N4" s="31"/>
      <c r="O4" s="31"/>
    </row>
    <row r="5" spans="1:15" ht="15" customHeight="1">
      <c r="A5" s="34" t="s">
        <v>52</v>
      </c>
      <c r="B5" s="34"/>
      <c r="C5" s="34"/>
      <c r="D5" s="35"/>
      <c r="E5" s="35"/>
      <c r="N5" s="31"/>
      <c r="O5" s="31"/>
    </row>
    <row r="6" spans="1:15" ht="15" customHeight="1">
      <c r="A6" s="36"/>
      <c r="N6" s="31"/>
      <c r="O6" s="31"/>
    </row>
    <row r="7" spans="1:17" ht="15.75" customHeight="1">
      <c r="A7" s="37" t="s">
        <v>53</v>
      </c>
      <c r="B7" s="38" t="s">
        <v>54</v>
      </c>
      <c r="C7" s="39" t="s">
        <v>55</v>
      </c>
      <c r="D7" s="38" t="s">
        <v>56</v>
      </c>
      <c r="E7" s="38" t="s">
        <v>57</v>
      </c>
      <c r="F7" s="38" t="s">
        <v>58</v>
      </c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9" t="s">
        <v>65</v>
      </c>
      <c r="N7" s="38" t="s">
        <v>66</v>
      </c>
      <c r="O7" s="38" t="s">
        <v>67</v>
      </c>
      <c r="P7" s="38" t="s">
        <v>68</v>
      </c>
      <c r="Q7" s="38" t="s">
        <v>69</v>
      </c>
    </row>
    <row r="8" spans="1:17" ht="15" customHeight="1">
      <c r="A8" s="67">
        <f>dane_TU!A2</f>
        <v>101</v>
      </c>
      <c r="B8" s="41" t="str">
        <f>dane_TU!B2</f>
        <v>Joanna Badowska
Wioletta Ziemnicka</v>
      </c>
      <c r="C8" s="41" t="str">
        <f>dane_TU!C2</f>
        <v>ZSP Białobrzegi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>
        <v>1</v>
      </c>
      <c r="P8" s="45" t="str">
        <f>IF(O8="",90*D9+60*E9+25*F9+15*G9+10*H9+10*I9+30*(J9+K9+L9)+M8+N8,"NKL")</f>
        <v>NKL</v>
      </c>
      <c r="Q8" s="46">
        <f>IF(P8&lt;&gt;"",IF(ISNUMBER(P8),MAX(1000*(($C$3+$C$4-P8)/$C$3),1),0))</f>
        <v>0</v>
      </c>
    </row>
    <row r="9" spans="1:17" ht="15" customHeight="1">
      <c r="A9" s="67"/>
      <c r="B9" s="41"/>
      <c r="C9" s="41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6"/>
    </row>
    <row r="10" spans="1:17" ht="15" customHeight="1">
      <c r="A10" s="68">
        <f>dane_TU!A3</f>
        <v>105</v>
      </c>
      <c r="B10" s="48" t="str">
        <f>dane_TU!B3</f>
        <v>Magda Maszewska
Jarosław Chodkowski</v>
      </c>
      <c r="C10" s="48" t="str">
        <f>dane_TU!C3</f>
        <v>Chrupki SKPB Trail Team</v>
      </c>
      <c r="D10" s="69">
        <v>2.5</v>
      </c>
      <c r="E10" s="69"/>
      <c r="F10" s="69"/>
      <c r="G10" s="69"/>
      <c r="H10" s="69"/>
      <c r="I10" s="69"/>
      <c r="J10" s="69"/>
      <c r="K10" s="69"/>
      <c r="L10" s="69"/>
      <c r="M10" s="50">
        <v>10</v>
      </c>
      <c r="N10" s="50">
        <v>2</v>
      </c>
      <c r="O10" s="50"/>
      <c r="P10" s="51">
        <f aca="true" t="shared" si="0" ref="P10">IF(O10="",90*D11+60*E11+25*F11+15*G11+10*H11+10*I11+30*(J11+K11+L11)+M10+N10,"NKL")</f>
        <v>192</v>
      </c>
      <c r="Q10" s="52">
        <f aca="true" t="shared" si="1" ref="Q10">IF(P10&lt;&gt;"",IF(ISNUMBER(P10),MAX(1000*(($C$3+$C$4-P10)/$C$3),1),0))</f>
        <v>1000</v>
      </c>
    </row>
    <row r="11" spans="1:17" ht="15" customHeight="1">
      <c r="A11" s="68"/>
      <c r="B11" s="48"/>
      <c r="C11" s="48"/>
      <c r="D11" s="70">
        <v>2</v>
      </c>
      <c r="E11" s="70"/>
      <c r="F11" s="70"/>
      <c r="G11" s="70"/>
      <c r="H11" s="70"/>
      <c r="I11" s="70"/>
      <c r="J11" s="70"/>
      <c r="K11" s="70"/>
      <c r="L11" s="70"/>
      <c r="M11" s="50"/>
      <c r="N11" s="50"/>
      <c r="O11" s="50"/>
      <c r="P11" s="51"/>
      <c r="Q11" s="52"/>
    </row>
    <row r="12" spans="1:17" ht="15.75" customHeight="1">
      <c r="A12" s="67">
        <f>dane_TU!A4</f>
        <v>106</v>
      </c>
      <c r="B12" s="41" t="str">
        <f>dane_TU!B4</f>
        <v>Michal Murgrabia
Krzysztof Chojnowski</v>
      </c>
      <c r="C12" s="41" t="str">
        <f>dane_TU!C4</f>
        <v>Bracia Koala
Skierniewice</v>
      </c>
      <c r="D12" s="44" t="s">
        <v>103</v>
      </c>
      <c r="E12" s="44"/>
      <c r="F12" s="44" t="s">
        <v>104</v>
      </c>
      <c r="G12" s="44"/>
      <c r="H12" s="44"/>
      <c r="I12" s="44"/>
      <c r="J12" s="44"/>
      <c r="K12" s="44"/>
      <c r="L12" s="44"/>
      <c r="M12" s="44">
        <v>2</v>
      </c>
      <c r="N12" s="44">
        <v>17</v>
      </c>
      <c r="O12" s="44"/>
      <c r="P12" s="45">
        <f aca="true" t="shared" si="2" ref="P12">IF(O12="",90*D13+60*E13+25*F13+15*G13+10*H13+10*I13+30*(J13+K13+L13)+M12+N12,"NKL")</f>
        <v>369</v>
      </c>
      <c r="Q12" s="46">
        <f aca="true" t="shared" si="3" ref="Q12">IF(P12&lt;&gt;"",IF(ISNUMBER(P12),MAX(1000*(($C$3+$C$4-P12)/$C$3),1),0))</f>
        <v>859.5238095238096</v>
      </c>
    </row>
    <row r="13" spans="1:17" ht="15" customHeight="1">
      <c r="A13" s="67"/>
      <c r="B13" s="41"/>
      <c r="C13" s="41"/>
      <c r="D13" s="44">
        <v>3</v>
      </c>
      <c r="E13" s="44"/>
      <c r="F13" s="44">
        <v>2</v>
      </c>
      <c r="G13" s="44"/>
      <c r="H13" s="44"/>
      <c r="I13" s="44"/>
      <c r="J13" s="44">
        <v>1</v>
      </c>
      <c r="K13" s="44"/>
      <c r="L13" s="44"/>
      <c r="M13" s="44"/>
      <c r="N13" s="44"/>
      <c r="O13" s="44"/>
      <c r="P13" s="45"/>
      <c r="Q13" s="46"/>
    </row>
    <row r="14" spans="1:17" ht="15" customHeight="1">
      <c r="A14" s="68">
        <f>dane_TU!A5</f>
        <v>107</v>
      </c>
      <c r="B14" s="48" t="str">
        <f>dane_TU!B5</f>
        <v>Zuzanna Żak
Luiza Rosłanowska
Urszula Piasecka</v>
      </c>
      <c r="C14" s="48" t="str">
        <f>dane_TU!C5</f>
        <v>PG 23 Radom</v>
      </c>
      <c r="D14" s="69"/>
      <c r="E14" s="69"/>
      <c r="F14" s="69"/>
      <c r="G14" s="69"/>
      <c r="H14" s="69"/>
      <c r="I14" s="69"/>
      <c r="J14" s="69"/>
      <c r="K14" s="69"/>
      <c r="L14" s="69"/>
      <c r="M14" s="50">
        <v>10</v>
      </c>
      <c r="N14" s="50"/>
      <c r="O14" s="50"/>
      <c r="P14" s="51">
        <f aca="true" t="shared" si="4" ref="P14">IF(O14="",90*D15+60*E15+25*F15+15*G15+10*H15+10*I15+30*(J15+K15+L15)+M14+N14,"NKL")</f>
        <v>595</v>
      </c>
      <c r="Q14" s="52">
        <f aca="true" t="shared" si="5" ref="Q14">IF(P14&lt;&gt;"",IF(ISNUMBER(P14),MAX(1000*(($C$3+$C$4-P14)/$C$3),1),0))</f>
        <v>680.1587301587302</v>
      </c>
    </row>
    <row r="15" spans="1:17" ht="15" customHeight="1">
      <c r="A15" s="68"/>
      <c r="B15" s="48"/>
      <c r="C15" s="48"/>
      <c r="D15" s="70">
        <v>6</v>
      </c>
      <c r="E15" s="70"/>
      <c r="F15" s="70">
        <v>1</v>
      </c>
      <c r="G15" s="70"/>
      <c r="H15" s="70"/>
      <c r="I15" s="70">
        <v>2</v>
      </c>
      <c r="J15" s="70"/>
      <c r="K15" s="70"/>
      <c r="L15" s="70"/>
      <c r="M15" s="50"/>
      <c r="N15" s="50"/>
      <c r="O15" s="50"/>
      <c r="P15" s="51"/>
      <c r="Q15" s="52"/>
    </row>
    <row r="16" spans="1:17" ht="15" customHeight="1">
      <c r="A16" s="67">
        <f>dane_TU!A6</f>
        <v>108</v>
      </c>
      <c r="B16" s="41" t="str">
        <f>dane_TU!B6</f>
        <v>Rafał Łyżwa
Kuba Kosterna</v>
      </c>
      <c r="C16" s="41" t="str">
        <f>dane_TU!C6</f>
        <v>PG 23 Radom</v>
      </c>
      <c r="D16" s="44"/>
      <c r="E16" s="44"/>
      <c r="F16" s="44"/>
      <c r="G16" s="44"/>
      <c r="H16" s="44"/>
      <c r="I16" s="44"/>
      <c r="J16" s="44"/>
      <c r="K16" s="44"/>
      <c r="L16" s="44"/>
      <c r="M16" s="44">
        <v>10</v>
      </c>
      <c r="N16" s="44"/>
      <c r="O16" s="44"/>
      <c r="P16" s="45">
        <f aca="true" t="shared" si="6" ref="P16">IF(O16="",90*D17+60*E17+25*F17+15*G17+10*H17+10*I17+30*(J17+K17+L17)+M16+N16,"NKL")</f>
        <v>650</v>
      </c>
      <c r="Q16" s="46">
        <f aca="true" t="shared" si="7" ref="Q16">IF(P16&lt;&gt;"",IF(ISNUMBER(P16),MAX(1000*(($C$3+$C$4-P16)/$C$3),1),0))</f>
        <v>636.5079365079365</v>
      </c>
    </row>
    <row r="17" spans="1:17" ht="15" customHeight="1">
      <c r="A17" s="67"/>
      <c r="B17" s="41"/>
      <c r="C17" s="41"/>
      <c r="D17" s="44">
        <v>7</v>
      </c>
      <c r="E17" s="44"/>
      <c r="F17" s="44"/>
      <c r="G17" s="44"/>
      <c r="H17" s="44"/>
      <c r="I17" s="44">
        <v>1</v>
      </c>
      <c r="J17" s="44"/>
      <c r="K17" s="44"/>
      <c r="L17" s="44"/>
      <c r="M17" s="44"/>
      <c r="N17" s="44"/>
      <c r="O17" s="44"/>
      <c r="P17" s="45"/>
      <c r="Q17" s="46"/>
    </row>
    <row r="18" spans="1:17" ht="15.75" customHeight="1">
      <c r="A18" s="67">
        <f>dane_TU!A7</f>
        <v>109</v>
      </c>
      <c r="B18" s="41" t="str">
        <f>dane_TU!B7</f>
        <v>Przybylski Andrzej
Kozakiewicz Ewa</v>
      </c>
      <c r="C18" s="41" t="str">
        <f>dane_TU!C7</f>
        <v>PG 23 Radom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1</v>
      </c>
      <c r="P18" s="45" t="str">
        <f aca="true" t="shared" si="8" ref="P18">IF(O18="",90*D19+60*E19+25*F19+15*G19+10*H19+10*I19+30*(J19+K19+L19)+M18+N18,"NKL")</f>
        <v>NKL</v>
      </c>
      <c r="Q18" s="46">
        <f aca="true" t="shared" si="9" ref="Q18">IF(P18&lt;&gt;"",IF(ISNUMBER(P18),MAX(1000*(($C$3+$C$4-P18)/$C$3),1),0))</f>
        <v>0</v>
      </c>
    </row>
    <row r="19" spans="1:17" ht="15" customHeight="1">
      <c r="A19" s="67"/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46"/>
    </row>
  </sheetData>
  <sheetProtection selectLockedCells="1" selectUnlockedCells="1"/>
  <mergeCells count="50">
    <mergeCell ref="F2:H2"/>
    <mergeCell ref="F3:H3"/>
    <mergeCell ref="A8:A9"/>
    <mergeCell ref="B8:B9"/>
    <mergeCell ref="C8:C9"/>
    <mergeCell ref="M8:M9"/>
    <mergeCell ref="N8:N9"/>
    <mergeCell ref="O8:O9"/>
    <mergeCell ref="P8:P9"/>
    <mergeCell ref="Q8:Q9"/>
    <mergeCell ref="A10:A11"/>
    <mergeCell ref="B10:B11"/>
    <mergeCell ref="C10:C11"/>
    <mergeCell ref="M10:M11"/>
    <mergeCell ref="N10:N11"/>
    <mergeCell ref="O10:O11"/>
    <mergeCell ref="P10:P11"/>
    <mergeCell ref="Q10:Q11"/>
    <mergeCell ref="A12:A13"/>
    <mergeCell ref="B12:B13"/>
    <mergeCell ref="C12:C13"/>
    <mergeCell ref="M12:M13"/>
    <mergeCell ref="N12:N13"/>
    <mergeCell ref="O12:O13"/>
    <mergeCell ref="P12:P13"/>
    <mergeCell ref="Q12:Q13"/>
    <mergeCell ref="A14:A15"/>
    <mergeCell ref="B14:B15"/>
    <mergeCell ref="C14:C15"/>
    <mergeCell ref="M14:M15"/>
    <mergeCell ref="N14:N15"/>
    <mergeCell ref="O14:O15"/>
    <mergeCell ref="P14:P15"/>
    <mergeCell ref="Q14:Q15"/>
    <mergeCell ref="A16:A17"/>
    <mergeCell ref="B16:B17"/>
    <mergeCell ref="C16:C17"/>
    <mergeCell ref="M16:M17"/>
    <mergeCell ref="N16:N17"/>
    <mergeCell ref="O16:O17"/>
    <mergeCell ref="P16:P17"/>
    <mergeCell ref="Q16:Q17"/>
    <mergeCell ref="A18:A19"/>
    <mergeCell ref="B18:B19"/>
    <mergeCell ref="C18:C19"/>
    <mergeCell ref="M18:M19"/>
    <mergeCell ref="N18:N19"/>
    <mergeCell ref="O18:O19"/>
    <mergeCell ref="P18:P19"/>
    <mergeCell ref="Q18:Q1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workbookViewId="0" topLeftCell="A1">
      <selection activeCell="A18" sqref="A18"/>
    </sheetView>
  </sheetViews>
  <sheetFormatPr defaultColWidth="9.140625" defaultRowHeight="15" customHeight="1"/>
  <cols>
    <col min="1" max="1" width="5.8515625" style="29" customWidth="1"/>
    <col min="2" max="2" width="16.7109375" style="29" customWidth="1"/>
    <col min="3" max="3" width="10.28125" style="29" customWidth="1"/>
    <col min="4" max="7" width="9.140625" style="29" customWidth="1"/>
    <col min="8" max="8" width="7.8515625" style="29" customWidth="1"/>
    <col min="9" max="9" width="7.00390625" style="29" customWidth="1"/>
    <col min="10" max="10" width="9.00390625" style="29" customWidth="1"/>
    <col min="11" max="11" width="7.28125" style="29" customWidth="1"/>
    <col min="12" max="12" width="7.57421875" style="29" customWidth="1"/>
    <col min="13" max="13" width="9.140625" style="29" customWidth="1"/>
    <col min="14" max="14" width="6.8515625" style="29" customWidth="1"/>
    <col min="15" max="16384" width="9.140625" style="29" customWidth="1"/>
  </cols>
  <sheetData>
    <row r="1" spans="3:15" ht="15" customHeight="1">
      <c r="C1" s="30"/>
      <c r="E1" s="30"/>
      <c r="G1" s="30"/>
      <c r="N1" s="31"/>
      <c r="O1" s="31"/>
    </row>
    <row r="2" spans="1:15" ht="15" customHeight="1">
      <c r="A2" s="32"/>
      <c r="B2" s="33"/>
      <c r="C2" s="34"/>
      <c r="E2" s="35"/>
      <c r="F2" s="6" t="s">
        <v>102</v>
      </c>
      <c r="G2" s="6"/>
      <c r="H2" s="6"/>
      <c r="N2" s="31"/>
      <c r="O2" s="31"/>
    </row>
    <row r="3" spans="1:15" ht="15" customHeight="1">
      <c r="A3" s="32"/>
      <c r="B3" s="33" t="s">
        <v>49</v>
      </c>
      <c r="C3" s="34">
        <f>_TUE2</f>
        <v>1080</v>
      </c>
      <c r="D3" s="35"/>
      <c r="E3" s="35"/>
      <c r="F3" s="6" t="s">
        <v>85</v>
      </c>
      <c r="G3" s="6"/>
      <c r="H3" s="6"/>
      <c r="N3" s="31"/>
      <c r="O3" s="31"/>
    </row>
    <row r="4" spans="1:15" ht="15" customHeight="1">
      <c r="A4" s="32"/>
      <c r="B4" s="33" t="s">
        <v>51</v>
      </c>
      <c r="C4" s="34">
        <f>MIN(P:P)</f>
        <v>4</v>
      </c>
      <c r="D4" s="35"/>
      <c r="E4" s="35"/>
      <c r="N4" s="31"/>
      <c r="O4" s="31"/>
    </row>
    <row r="5" spans="1:15" ht="15" customHeight="1">
      <c r="A5" s="34" t="s">
        <v>52</v>
      </c>
      <c r="B5" s="34"/>
      <c r="C5" s="34"/>
      <c r="D5" s="35"/>
      <c r="E5" s="35"/>
      <c r="N5" s="31"/>
      <c r="O5" s="31"/>
    </row>
    <row r="6" spans="1:15" ht="15" customHeight="1">
      <c r="A6" s="36"/>
      <c r="N6" s="31"/>
      <c r="O6" s="31"/>
    </row>
    <row r="7" spans="1:17" ht="15.75" customHeight="1">
      <c r="A7" s="37" t="s">
        <v>53</v>
      </c>
      <c r="B7" s="38" t="s">
        <v>54</v>
      </c>
      <c r="C7" s="39" t="s">
        <v>55</v>
      </c>
      <c r="D7" s="38" t="s">
        <v>56</v>
      </c>
      <c r="E7" s="38" t="s">
        <v>57</v>
      </c>
      <c r="F7" s="38" t="s">
        <v>58</v>
      </c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9" t="s">
        <v>65</v>
      </c>
      <c r="N7" s="38" t="s">
        <v>66</v>
      </c>
      <c r="O7" s="38" t="s">
        <v>67</v>
      </c>
      <c r="P7" s="38" t="s">
        <v>68</v>
      </c>
      <c r="Q7" s="38" t="s">
        <v>69</v>
      </c>
    </row>
    <row r="8" spans="1:17" ht="15" customHeight="1">
      <c r="A8" s="67">
        <f>dane_TU!A2</f>
        <v>101</v>
      </c>
      <c r="B8" s="41" t="str">
        <f>dane_TU!B2</f>
        <v>Joanna Badowska
Wioletta Ziemnicka</v>
      </c>
      <c r="C8" s="41" t="str">
        <f>dane_TU!C2</f>
        <v>ZSP Białobrzegi</v>
      </c>
      <c r="D8" s="44" t="s">
        <v>105</v>
      </c>
      <c r="E8" s="44"/>
      <c r="F8" s="44" t="s">
        <v>106</v>
      </c>
      <c r="G8" s="44"/>
      <c r="H8" s="44"/>
      <c r="I8" s="44"/>
      <c r="J8" s="44"/>
      <c r="K8" s="44"/>
      <c r="L8" s="44"/>
      <c r="M8" s="44">
        <v>10</v>
      </c>
      <c r="N8" s="44">
        <v>160</v>
      </c>
      <c r="O8" s="44"/>
      <c r="P8" s="45">
        <f>IF(O8="",90*D9+60*E9+25*F9+15*G9+10*H9+10*I9+30*(J9+K9+L9)+M8+N8,"NKL")</f>
        <v>565</v>
      </c>
      <c r="Q8" s="46">
        <f>IF(P8&lt;&gt;"",IF(ISNUMBER(P8),MAX(1000*(($C$3+$C$4-P8)/$C$3),1),0))</f>
        <v>480.55555555555554</v>
      </c>
    </row>
    <row r="9" spans="1:17" ht="15" customHeight="1">
      <c r="A9" s="67"/>
      <c r="B9" s="41"/>
      <c r="C9" s="41"/>
      <c r="D9" s="44">
        <v>2</v>
      </c>
      <c r="E9" s="44"/>
      <c r="F9" s="44">
        <v>5</v>
      </c>
      <c r="G9" s="44"/>
      <c r="H9" s="44"/>
      <c r="I9" s="44">
        <v>3</v>
      </c>
      <c r="J9" s="44"/>
      <c r="K9" s="44">
        <v>2</v>
      </c>
      <c r="L9" s="44"/>
      <c r="M9" s="44"/>
      <c r="N9" s="44"/>
      <c r="O9" s="44"/>
      <c r="P9" s="45"/>
      <c r="Q9" s="46"/>
    </row>
    <row r="10" spans="1:17" ht="15" customHeight="1">
      <c r="A10" s="67">
        <f>dane_TU!A3</f>
        <v>105</v>
      </c>
      <c r="B10" s="41" t="str">
        <f>dane_TU!B3</f>
        <v>Magda Maszewska
Jarosław Chodkowski</v>
      </c>
      <c r="C10" s="41" t="str">
        <f>dane_TU!C3</f>
        <v>Chrupki SKPB Trail Team</v>
      </c>
      <c r="D10" s="44"/>
      <c r="E10" s="44"/>
      <c r="F10" s="44"/>
      <c r="G10" s="44"/>
      <c r="H10" s="44"/>
      <c r="I10" s="44"/>
      <c r="J10" s="44"/>
      <c r="K10" s="44"/>
      <c r="L10" s="44"/>
      <c r="M10" s="44">
        <v>1</v>
      </c>
      <c r="N10" s="44">
        <v>3</v>
      </c>
      <c r="O10" s="44"/>
      <c r="P10" s="45">
        <f aca="true" t="shared" si="0" ref="P10">IF(O10="",90*D11+60*E11+25*F11+15*G11+10*H11+10*I11+30*(J11+K11+L11)+M10+N10,"NKL")</f>
        <v>4</v>
      </c>
      <c r="Q10" s="46">
        <f aca="true" t="shared" si="1" ref="Q10">IF(P10&lt;&gt;"",IF(ISNUMBER(P10),MAX(1000*(($C$3+$C$4-P10)/$C$3),1),0))</f>
        <v>1000</v>
      </c>
    </row>
    <row r="11" spans="1:17" ht="15" customHeight="1">
      <c r="A11" s="67"/>
      <c r="B11" s="41"/>
      <c r="C11" s="4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46"/>
    </row>
    <row r="12" spans="1:17" ht="15.75" customHeight="1">
      <c r="A12" s="67">
        <f>dane_TU!A4</f>
        <v>106</v>
      </c>
      <c r="B12" s="41" t="str">
        <f>dane_TU!B4</f>
        <v>Michal Murgrabia
Krzysztof Chojnowski</v>
      </c>
      <c r="C12" s="41" t="str">
        <f>dane_TU!C4</f>
        <v>Bracia Koala
Skierniewice</v>
      </c>
      <c r="D12" s="44"/>
      <c r="E12" s="44"/>
      <c r="F12" s="44" t="s">
        <v>107</v>
      </c>
      <c r="G12" s="44"/>
      <c r="H12" s="44" t="s">
        <v>108</v>
      </c>
      <c r="I12" s="44"/>
      <c r="J12" s="44"/>
      <c r="K12" s="44"/>
      <c r="L12" s="44"/>
      <c r="M12" s="44">
        <v>10</v>
      </c>
      <c r="N12" s="44">
        <v>28</v>
      </c>
      <c r="O12" s="44"/>
      <c r="P12" s="45">
        <f aca="true" t="shared" si="2" ref="P12">IF(O12="",90*D13+60*E13+25*F13+15*G13+10*H13+10*I13+30*(J13+K13+L13)+M12+N12,"NKL")</f>
        <v>163</v>
      </c>
      <c r="Q12" s="46">
        <f aca="true" t="shared" si="3" ref="Q12">IF(P12&lt;&gt;"",IF(ISNUMBER(P12),MAX(1000*(($C$3+$C$4-P12)/$C$3),1),0))</f>
        <v>852.7777777777777</v>
      </c>
    </row>
    <row r="13" spans="1:17" ht="15" customHeight="1">
      <c r="A13" s="67"/>
      <c r="B13" s="41"/>
      <c r="C13" s="41"/>
      <c r="D13" s="44"/>
      <c r="E13" s="44"/>
      <c r="F13" s="44">
        <v>3</v>
      </c>
      <c r="G13" s="44"/>
      <c r="H13" s="44">
        <v>2</v>
      </c>
      <c r="I13" s="44"/>
      <c r="J13" s="44"/>
      <c r="K13" s="44"/>
      <c r="L13" s="44">
        <v>1</v>
      </c>
      <c r="M13" s="44"/>
      <c r="N13" s="44"/>
      <c r="O13" s="44"/>
      <c r="P13" s="45"/>
      <c r="Q13" s="46"/>
    </row>
    <row r="14" spans="1:17" ht="15" customHeight="1">
      <c r="A14" s="67">
        <f>dane_TU!A5</f>
        <v>107</v>
      </c>
      <c r="B14" s="41" t="str">
        <f>dane_TU!B5</f>
        <v>Zuzanna Żak
Luiza Rosłanowska
Urszula Piasecka</v>
      </c>
      <c r="C14" s="41" t="str">
        <f>dane_TU!C5</f>
        <v>PG 23 Radom</v>
      </c>
      <c r="D14" s="44" t="s">
        <v>109</v>
      </c>
      <c r="E14" s="44"/>
      <c r="F14" s="44" t="s">
        <v>110</v>
      </c>
      <c r="G14" s="44"/>
      <c r="H14" s="44"/>
      <c r="I14" s="44"/>
      <c r="J14" s="44"/>
      <c r="K14" s="44"/>
      <c r="L14" s="44"/>
      <c r="M14" s="44">
        <v>10</v>
      </c>
      <c r="N14" s="44">
        <v>640</v>
      </c>
      <c r="O14" s="44"/>
      <c r="P14" s="45">
        <f aca="true" t="shared" si="4" ref="P14">IF(O14="",90*D15+60*E15+25*F15+15*G15+10*H15+10*I15+30*(J15+K15+L15)+M14+N14,"NKL")</f>
        <v>895</v>
      </c>
      <c r="Q14" s="46">
        <f aca="true" t="shared" si="5" ref="Q14">IF(P14&lt;&gt;"",IF(ISNUMBER(P14),MAX(1000*(($C$3+$C$4-P14)/$C$3),1),0))</f>
        <v>175</v>
      </c>
    </row>
    <row r="15" spans="1:17" ht="15" customHeight="1">
      <c r="A15" s="67"/>
      <c r="B15" s="41"/>
      <c r="C15" s="41"/>
      <c r="D15" s="44">
        <v>1</v>
      </c>
      <c r="E15" s="44"/>
      <c r="F15" s="44">
        <v>5</v>
      </c>
      <c r="G15" s="44"/>
      <c r="H15" s="44"/>
      <c r="I15" s="44"/>
      <c r="J15" s="44"/>
      <c r="K15" s="44">
        <v>1</v>
      </c>
      <c r="L15" s="44"/>
      <c r="M15" s="44"/>
      <c r="N15" s="44"/>
      <c r="O15" s="44"/>
      <c r="P15" s="45"/>
      <c r="Q15" s="46"/>
    </row>
    <row r="16" spans="1:17" ht="15" customHeight="1">
      <c r="A16" s="67">
        <f>dane_TU!A6</f>
        <v>108</v>
      </c>
      <c r="B16" s="41" t="str">
        <f>dane_TU!B6</f>
        <v>Rafał Łyżwa
Kuba Kosterna</v>
      </c>
      <c r="C16" s="41" t="str">
        <f>dane_TU!C6</f>
        <v>PG 23 Radom</v>
      </c>
      <c r="D16" s="44" t="s">
        <v>109</v>
      </c>
      <c r="E16" s="44"/>
      <c r="F16" s="44" t="s">
        <v>111</v>
      </c>
      <c r="G16" s="44"/>
      <c r="H16" s="44"/>
      <c r="I16" s="44"/>
      <c r="J16" s="44"/>
      <c r="K16" s="44"/>
      <c r="L16" s="44"/>
      <c r="M16" s="44">
        <v>10</v>
      </c>
      <c r="N16" s="44">
        <v>730</v>
      </c>
      <c r="O16" s="44"/>
      <c r="P16" s="45">
        <f aca="true" t="shared" si="6" ref="P16">IF(O16="",90*D17+60*E17+25*F17+15*G17+10*H17+10*I17+30*(J17+K17+L17)+M16+N16,"NKL")</f>
        <v>1005</v>
      </c>
      <c r="Q16" s="46">
        <f aca="true" t="shared" si="7" ref="Q16">IF(P16&lt;&gt;"",IF(ISNUMBER(P16),MAX(1000*(($C$3+$C$4-P16)/$C$3),1),0))</f>
        <v>73.14814814814814</v>
      </c>
    </row>
    <row r="17" spans="1:17" ht="15" customHeight="1">
      <c r="A17" s="67"/>
      <c r="B17" s="41"/>
      <c r="C17" s="41"/>
      <c r="D17" s="44">
        <v>1</v>
      </c>
      <c r="E17" s="44"/>
      <c r="F17" s="44">
        <v>5</v>
      </c>
      <c r="G17" s="44"/>
      <c r="H17" s="44"/>
      <c r="I17" s="44">
        <v>5</v>
      </c>
      <c r="J17" s="44"/>
      <c r="K17" s="44"/>
      <c r="L17" s="44"/>
      <c r="M17" s="44"/>
      <c r="N17" s="44"/>
      <c r="O17" s="44"/>
      <c r="P17" s="45"/>
      <c r="Q17" s="46"/>
    </row>
    <row r="18" spans="1:17" ht="15.75" customHeight="1">
      <c r="A18" s="67">
        <f>dane_TU!A7</f>
        <v>109</v>
      </c>
      <c r="B18" s="41" t="str">
        <f>dane_TU!B7</f>
        <v>Przybylski Andrzej
Kozakiewicz Ewa</v>
      </c>
      <c r="C18" s="41" t="str">
        <f>dane_TU!C7</f>
        <v>PG 23 Radom</v>
      </c>
      <c r="D18" s="44"/>
      <c r="E18" s="44"/>
      <c r="F18" s="44"/>
      <c r="G18" s="44"/>
      <c r="H18" s="44"/>
      <c r="I18" s="44"/>
      <c r="J18" s="44"/>
      <c r="K18" s="44"/>
      <c r="L18" s="44"/>
      <c r="M18" s="44">
        <v>10</v>
      </c>
      <c r="N18" s="44"/>
      <c r="O18" s="44"/>
      <c r="P18" s="45">
        <f aca="true" t="shared" si="8" ref="P18">IF(O18="",90*D19+60*E19+25*F19+15*G19+10*H19+10*I19+30*(J19+K19+L19)+M18+N18,"NKL")</f>
        <v>1240</v>
      </c>
      <c r="Q18" s="46">
        <f aca="true" t="shared" si="9" ref="Q18">IF(P18&lt;&gt;"",IF(ISNUMBER(P18),MAX(1000*(($C$3+$C$4-P18)/$C$3),1),0))</f>
        <v>1</v>
      </c>
    </row>
    <row r="19" spans="1:17" ht="33" customHeight="1">
      <c r="A19" s="67"/>
      <c r="B19" s="41"/>
      <c r="C19" s="41"/>
      <c r="D19" s="44">
        <v>11</v>
      </c>
      <c r="E19" s="44"/>
      <c r="F19" s="44"/>
      <c r="G19" s="44"/>
      <c r="H19" s="44"/>
      <c r="I19" s="44"/>
      <c r="J19" s="44">
        <v>8</v>
      </c>
      <c r="K19" s="44"/>
      <c r="L19" s="44"/>
      <c r="M19" s="44"/>
      <c r="N19" s="44"/>
      <c r="O19" s="44"/>
      <c r="P19" s="45"/>
      <c r="Q19" s="46"/>
    </row>
  </sheetData>
  <sheetProtection selectLockedCells="1" selectUnlockedCells="1"/>
  <mergeCells count="50">
    <mergeCell ref="F2:H2"/>
    <mergeCell ref="F3:H3"/>
    <mergeCell ref="A8:A9"/>
    <mergeCell ref="B8:B9"/>
    <mergeCell ref="C8:C9"/>
    <mergeCell ref="M8:M9"/>
    <mergeCell ref="N8:N9"/>
    <mergeCell ref="O8:O9"/>
    <mergeCell ref="P8:P9"/>
    <mergeCell ref="Q8:Q9"/>
    <mergeCell ref="A10:A11"/>
    <mergeCell ref="B10:B11"/>
    <mergeCell ref="C10:C11"/>
    <mergeCell ref="M10:M11"/>
    <mergeCell ref="N10:N11"/>
    <mergeCell ref="O10:O11"/>
    <mergeCell ref="P10:P11"/>
    <mergeCell ref="Q10:Q11"/>
    <mergeCell ref="A12:A13"/>
    <mergeCell ref="B12:B13"/>
    <mergeCell ref="C12:C13"/>
    <mergeCell ref="M12:M13"/>
    <mergeCell ref="N12:N13"/>
    <mergeCell ref="O12:O13"/>
    <mergeCell ref="P12:P13"/>
    <mergeCell ref="Q12:Q13"/>
    <mergeCell ref="A14:A15"/>
    <mergeCell ref="B14:B15"/>
    <mergeCell ref="C14:C15"/>
    <mergeCell ref="M14:M15"/>
    <mergeCell ref="N14:N15"/>
    <mergeCell ref="O14:O15"/>
    <mergeCell ref="P14:P15"/>
    <mergeCell ref="Q14:Q15"/>
    <mergeCell ref="A16:A17"/>
    <mergeCell ref="B16:B17"/>
    <mergeCell ref="C16:C17"/>
    <mergeCell ref="M16:M17"/>
    <mergeCell ref="N16:N17"/>
    <mergeCell ref="O16:O17"/>
    <mergeCell ref="P16:P17"/>
    <mergeCell ref="Q16:Q17"/>
    <mergeCell ref="A18:A19"/>
    <mergeCell ref="B18:B19"/>
    <mergeCell ref="C18:C19"/>
    <mergeCell ref="M18:M19"/>
    <mergeCell ref="N18:N19"/>
    <mergeCell ref="O18:O19"/>
    <mergeCell ref="P18:P19"/>
    <mergeCell ref="Q18:Q19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workbookViewId="0" topLeftCell="A1">
      <selection activeCell="C26" sqref="C26"/>
    </sheetView>
  </sheetViews>
  <sheetFormatPr defaultColWidth="9.140625" defaultRowHeight="15" customHeight="1"/>
  <cols>
    <col min="1" max="1" width="5.8515625" style="29" customWidth="1"/>
    <col min="2" max="2" width="16.7109375" style="29" customWidth="1"/>
    <col min="3" max="3" width="10.28125" style="29" customWidth="1"/>
    <col min="4" max="7" width="9.140625" style="29" customWidth="1"/>
    <col min="8" max="8" width="7.8515625" style="29" customWidth="1"/>
    <col min="9" max="9" width="7.00390625" style="29" customWidth="1"/>
    <col min="10" max="10" width="9.00390625" style="29" customWidth="1"/>
    <col min="11" max="11" width="7.28125" style="29" customWidth="1"/>
    <col min="12" max="12" width="7.57421875" style="29" customWidth="1"/>
    <col min="13" max="13" width="9.140625" style="29" customWidth="1"/>
    <col min="14" max="14" width="6.8515625" style="29" customWidth="1"/>
    <col min="15" max="16384" width="9.140625" style="29" customWidth="1"/>
  </cols>
  <sheetData>
    <row r="1" spans="3:15" ht="15" customHeight="1">
      <c r="C1" s="30"/>
      <c r="E1" s="30"/>
      <c r="G1" s="30"/>
      <c r="N1" s="31"/>
      <c r="O1" s="31"/>
    </row>
    <row r="2" spans="1:15" ht="15" customHeight="1">
      <c r="A2" s="32"/>
      <c r="B2" s="33"/>
      <c r="C2" s="34"/>
      <c r="E2" s="35"/>
      <c r="F2" s="6" t="s">
        <v>102</v>
      </c>
      <c r="G2" s="6"/>
      <c r="H2" s="6"/>
      <c r="N2" s="31"/>
      <c r="O2" s="31"/>
    </row>
    <row r="3" spans="1:15" ht="15" customHeight="1">
      <c r="A3" s="32"/>
      <c r="B3" s="33" t="s">
        <v>49</v>
      </c>
      <c r="C3" s="34">
        <f>_TUE3</f>
        <v>1350</v>
      </c>
      <c r="D3" s="35"/>
      <c r="E3" s="35"/>
      <c r="F3" s="6" t="s">
        <v>112</v>
      </c>
      <c r="G3" s="6"/>
      <c r="H3" s="6"/>
      <c r="N3" s="31"/>
      <c r="O3" s="31"/>
    </row>
    <row r="4" spans="1:15" ht="15" customHeight="1">
      <c r="A4" s="32"/>
      <c r="B4" s="33" t="s">
        <v>51</v>
      </c>
      <c r="C4" s="34">
        <f>MIN(P:P)</f>
        <v>10</v>
      </c>
      <c r="D4" s="35"/>
      <c r="E4" s="35"/>
      <c r="N4" s="31"/>
      <c r="O4" s="31"/>
    </row>
    <row r="5" spans="1:15" ht="15" customHeight="1">
      <c r="A5" s="34" t="s">
        <v>52</v>
      </c>
      <c r="B5" s="34"/>
      <c r="C5" s="34"/>
      <c r="D5" s="35"/>
      <c r="E5" s="35"/>
      <c r="N5" s="31"/>
      <c r="O5" s="31"/>
    </row>
    <row r="6" spans="1:15" ht="15" customHeight="1">
      <c r="A6" s="36"/>
      <c r="N6" s="31"/>
      <c r="O6" s="31"/>
    </row>
    <row r="7" spans="1:17" ht="15.75" customHeight="1">
      <c r="A7" s="37" t="s">
        <v>53</v>
      </c>
      <c r="B7" s="38" t="s">
        <v>54</v>
      </c>
      <c r="C7" s="39" t="s">
        <v>55</v>
      </c>
      <c r="D7" s="38" t="s">
        <v>56</v>
      </c>
      <c r="E7" s="38" t="s">
        <v>57</v>
      </c>
      <c r="F7" s="38" t="s">
        <v>58</v>
      </c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9" t="s">
        <v>65</v>
      </c>
      <c r="N7" s="38" t="s">
        <v>66</v>
      </c>
      <c r="O7" s="38" t="s">
        <v>67</v>
      </c>
      <c r="P7" s="38" t="s">
        <v>68</v>
      </c>
      <c r="Q7" s="38" t="s">
        <v>69</v>
      </c>
    </row>
    <row r="8" spans="1:17" ht="15" customHeight="1">
      <c r="A8" s="67">
        <f>dane_TU!A2</f>
        <v>101</v>
      </c>
      <c r="B8" s="41" t="str">
        <f>dane_TU!B2</f>
        <v>Joanna Badowska
Wioletta Ziemnicka</v>
      </c>
      <c r="C8" s="41" t="str">
        <f>dane_TU!C2</f>
        <v>ZSP Białobrzegi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>
        <v>6</v>
      </c>
      <c r="O8" s="44"/>
      <c r="P8" s="45">
        <f>IF(O8="",90*D9+60*E9+25*F9+15*G9+10*H9+10*I9+30*(J9+K9+L9)+M8+N8,"NKL")</f>
        <v>226</v>
      </c>
      <c r="Q8" s="46">
        <f>IF(P8&lt;&gt;"",IF(ISNUMBER(P8),MAX(1000*(($C$3+$C$4-P8)/$C$3),1),0))</f>
        <v>840</v>
      </c>
    </row>
    <row r="9" spans="1:17" ht="15" customHeight="1">
      <c r="A9" s="67"/>
      <c r="B9" s="41"/>
      <c r="C9" s="41"/>
      <c r="D9" s="44">
        <v>2</v>
      </c>
      <c r="E9" s="44"/>
      <c r="F9" s="44">
        <v>1</v>
      </c>
      <c r="G9" s="44">
        <v>1</v>
      </c>
      <c r="H9" s="44"/>
      <c r="I9" s="44"/>
      <c r="J9" s="44"/>
      <c r="K9" s="44"/>
      <c r="L9" s="44"/>
      <c r="M9" s="44"/>
      <c r="N9" s="44"/>
      <c r="O9" s="44"/>
      <c r="P9" s="45"/>
      <c r="Q9" s="46"/>
    </row>
    <row r="10" spans="1:17" ht="15" customHeight="1">
      <c r="A10" s="67">
        <f>dane_TU!A3</f>
        <v>105</v>
      </c>
      <c r="B10" s="41" t="str">
        <f>dane_TU!B3</f>
        <v>Magda Maszewska
Jarosław Chodkowski</v>
      </c>
      <c r="C10" s="41" t="str">
        <f>dane_TU!C3</f>
        <v>Chrupki SKPB Trail Team</v>
      </c>
      <c r="D10" s="44"/>
      <c r="E10" s="44"/>
      <c r="F10" s="44"/>
      <c r="G10" s="44"/>
      <c r="H10" s="44">
        <v>2</v>
      </c>
      <c r="I10" s="44"/>
      <c r="J10" s="44"/>
      <c r="K10" s="44"/>
      <c r="L10" s="44"/>
      <c r="M10" s="44"/>
      <c r="N10" s="44"/>
      <c r="O10" s="44"/>
      <c r="P10" s="45">
        <f aca="true" t="shared" si="0" ref="P10">IF(O10="",90*D11+60*E11+25*F11+15*G11+10*H11+10*I11+30*(J11+K11+L11)+M10+N10,"NKL")</f>
        <v>10</v>
      </c>
      <c r="Q10" s="46">
        <f aca="true" t="shared" si="1" ref="Q10">IF(P10&lt;&gt;"",IF(ISNUMBER(P10),MAX(1000*(($C$3+$C$4-P10)/$C$3),1),0))</f>
        <v>1000</v>
      </c>
    </row>
    <row r="11" spans="1:17" ht="15" customHeight="1">
      <c r="A11" s="67"/>
      <c r="B11" s="41"/>
      <c r="C11" s="41"/>
      <c r="D11" s="44"/>
      <c r="E11" s="44"/>
      <c r="F11" s="44"/>
      <c r="G11" s="44"/>
      <c r="H11" s="44">
        <v>1</v>
      </c>
      <c r="I11" s="44"/>
      <c r="J11" s="44"/>
      <c r="K11" s="44"/>
      <c r="L11" s="44"/>
      <c r="M11" s="44"/>
      <c r="N11" s="44"/>
      <c r="O11" s="44"/>
      <c r="P11" s="45"/>
      <c r="Q11" s="46"/>
    </row>
    <row r="12" spans="1:17" ht="15.75" customHeight="1">
      <c r="A12" s="67">
        <f>dane_TU!A4</f>
        <v>106</v>
      </c>
      <c r="B12" s="41" t="str">
        <f>dane_TU!B4</f>
        <v>Michal Murgrabia
Krzysztof Chojnowski</v>
      </c>
      <c r="C12" s="41" t="str">
        <f>dane_TU!C4</f>
        <v>Bracia Koala
Skierniewice</v>
      </c>
      <c r="D12" s="44"/>
      <c r="E12" s="44"/>
      <c r="F12" s="44">
        <v>1</v>
      </c>
      <c r="G12" s="44"/>
      <c r="H12" s="44"/>
      <c r="I12" s="44"/>
      <c r="J12" s="44"/>
      <c r="K12" s="44"/>
      <c r="L12" s="44"/>
      <c r="M12" s="44"/>
      <c r="N12" s="44"/>
      <c r="O12" s="44"/>
      <c r="P12" s="45">
        <f aca="true" t="shared" si="2" ref="P12">IF(O12="",90*D13+60*E13+25*F13+15*G13+10*H13+10*I13+30*(J13+K13+L13)+M12+N12,"NKL")</f>
        <v>35</v>
      </c>
      <c r="Q12" s="46">
        <f aca="true" t="shared" si="3" ref="Q12">IF(P12&lt;&gt;"",IF(ISNUMBER(P12),MAX(1000*(($C$3+$C$4-P12)/$C$3),1),0))</f>
        <v>981.4814814814815</v>
      </c>
    </row>
    <row r="13" spans="1:17" ht="15" customHeight="1">
      <c r="A13" s="67"/>
      <c r="B13" s="41"/>
      <c r="C13" s="41"/>
      <c r="D13" s="44"/>
      <c r="E13" s="44"/>
      <c r="F13" s="44">
        <v>1</v>
      </c>
      <c r="G13" s="44"/>
      <c r="H13" s="44">
        <v>1</v>
      </c>
      <c r="I13" s="44"/>
      <c r="J13" s="44"/>
      <c r="K13" s="44"/>
      <c r="L13" s="44"/>
      <c r="M13" s="44"/>
      <c r="N13" s="44"/>
      <c r="O13" s="44"/>
      <c r="P13" s="45"/>
      <c r="Q13" s="46"/>
    </row>
    <row r="14" spans="1:17" ht="15" customHeight="1">
      <c r="A14" s="67">
        <f>dane_TU!A5</f>
        <v>107</v>
      </c>
      <c r="B14" s="41" t="str">
        <f>dane_TU!B5</f>
        <v>Zuzanna Żak
Luiza Rosłanowska
Urszula Piasecka</v>
      </c>
      <c r="C14" s="41" t="str">
        <f>dane_TU!C5</f>
        <v>PG 23 Radom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</v>
      </c>
      <c r="P14" s="45" t="str">
        <f aca="true" t="shared" si="4" ref="P14">IF(O14="",90*D15+60*E15+25*F15+15*G15+10*H15+10*I15+30*(J15+K15+L15)+M14+N14,"NKL")</f>
        <v>NKL</v>
      </c>
      <c r="Q14" s="46">
        <f aca="true" t="shared" si="5" ref="Q14">IF(P14&lt;&gt;"",IF(ISNUMBER(P14),MAX(1000*(($C$3+$C$4-P14)/$C$3),1),0))</f>
        <v>0</v>
      </c>
    </row>
    <row r="15" spans="1:17" ht="15" customHeight="1">
      <c r="A15" s="67"/>
      <c r="B15" s="41"/>
      <c r="C15" s="41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46"/>
    </row>
    <row r="16" spans="1:17" ht="15" customHeight="1">
      <c r="A16" s="68">
        <f>dane_TU!A6</f>
        <v>108</v>
      </c>
      <c r="B16" s="71" t="str">
        <f>dane_TU!B6</f>
        <v>Rafał Łyżwa
Kuba Kosterna</v>
      </c>
      <c r="C16" s="71" t="str">
        <f>dane_TU!C6</f>
        <v>PG 23 Radom</v>
      </c>
      <c r="D16" s="44"/>
      <c r="E16" s="44"/>
      <c r="F16" s="44"/>
      <c r="G16" s="44"/>
      <c r="H16" s="44"/>
      <c r="I16" s="44"/>
      <c r="J16" s="44"/>
      <c r="K16" s="44"/>
      <c r="L16" s="44"/>
      <c r="M16" s="70"/>
      <c r="N16" s="70"/>
      <c r="O16" s="70"/>
      <c r="P16" s="72">
        <f aca="true" t="shared" si="6" ref="P16">IF(O16="",90*D17+60*E17+25*F17+15*G17+10*H17+10*I17+30*(J17+K17+L17)+M16+N16,"NKL")</f>
        <v>1200</v>
      </c>
      <c r="Q16" s="73">
        <f aca="true" t="shared" si="7" ref="Q16">IF(P16&lt;&gt;"",IF(ISNUMBER(P16),MAX(1000*(($C$3+$C$4-P16)/$C$3),1),0))</f>
        <v>118.51851851851852</v>
      </c>
    </row>
    <row r="17" spans="1:17" ht="15" customHeight="1">
      <c r="A17" s="68"/>
      <c r="B17" s="71"/>
      <c r="C17" s="71"/>
      <c r="D17" s="70">
        <v>12</v>
      </c>
      <c r="E17" s="70">
        <v>2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2"/>
      <c r="Q17" s="73"/>
    </row>
    <row r="18" spans="1:17" ht="15.75" customHeight="1">
      <c r="A18" s="67">
        <f>dane_TU!A7</f>
        <v>109</v>
      </c>
      <c r="B18" s="41" t="str">
        <f>dane_TU!B7</f>
        <v>Przybylski Andrzej
Kozakiewicz Ewa</v>
      </c>
      <c r="C18" s="41" t="str">
        <f>dane_TU!C7</f>
        <v>PG 23 Radom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>
        <f aca="true" t="shared" si="8" ref="P18">IF(O18="",90*D19+60*E19+25*F19+15*G19+10*H19+10*I19+30*(J19+K19+L19)+M18+N18,"NKL")</f>
        <v>65</v>
      </c>
      <c r="Q18" s="46">
        <f aca="true" t="shared" si="9" ref="Q18">IF(P18&lt;&gt;"",IF(ISNUMBER(P18),MAX(1000*(($C$3+$C$4-P18)/$C$3),1),0))</f>
        <v>959.2592592592592</v>
      </c>
    </row>
    <row r="19" spans="1:17" ht="15" customHeight="1">
      <c r="A19" s="67"/>
      <c r="B19" s="41"/>
      <c r="C19" s="41"/>
      <c r="D19" s="44"/>
      <c r="E19" s="44"/>
      <c r="F19" s="44">
        <v>2</v>
      </c>
      <c r="G19" s="44">
        <v>1</v>
      </c>
      <c r="H19" s="44"/>
      <c r="I19" s="44"/>
      <c r="J19" s="44"/>
      <c r="K19" s="44"/>
      <c r="L19" s="44"/>
      <c r="M19" s="44"/>
      <c r="N19" s="44"/>
      <c r="O19" s="44"/>
      <c r="P19" s="45"/>
      <c r="Q19" s="46"/>
    </row>
  </sheetData>
  <sheetProtection selectLockedCells="1" selectUnlockedCells="1"/>
  <mergeCells count="50">
    <mergeCell ref="F2:H2"/>
    <mergeCell ref="F3:H3"/>
    <mergeCell ref="A8:A9"/>
    <mergeCell ref="B8:B9"/>
    <mergeCell ref="C8:C9"/>
    <mergeCell ref="M8:M9"/>
    <mergeCell ref="N8:N9"/>
    <mergeCell ref="O8:O9"/>
    <mergeCell ref="P8:P9"/>
    <mergeCell ref="Q8:Q9"/>
    <mergeCell ref="A10:A11"/>
    <mergeCell ref="B10:B11"/>
    <mergeCell ref="C10:C11"/>
    <mergeCell ref="M10:M11"/>
    <mergeCell ref="N10:N11"/>
    <mergeCell ref="O10:O11"/>
    <mergeCell ref="P10:P11"/>
    <mergeCell ref="Q10:Q11"/>
    <mergeCell ref="A12:A13"/>
    <mergeCell ref="B12:B13"/>
    <mergeCell ref="C12:C13"/>
    <mergeCell ref="M12:M13"/>
    <mergeCell ref="N12:N13"/>
    <mergeCell ref="O12:O13"/>
    <mergeCell ref="P12:P13"/>
    <mergeCell ref="Q12:Q13"/>
    <mergeCell ref="A14:A15"/>
    <mergeCell ref="B14:B15"/>
    <mergeCell ref="C14:C15"/>
    <mergeCell ref="M14:M15"/>
    <mergeCell ref="N14:N15"/>
    <mergeCell ref="O14:O15"/>
    <mergeCell ref="P14:P15"/>
    <mergeCell ref="Q14:Q15"/>
    <mergeCell ref="A16:A17"/>
    <mergeCell ref="B16:B17"/>
    <mergeCell ref="C16:C17"/>
    <mergeCell ref="M16:M17"/>
    <mergeCell ref="N16:N17"/>
    <mergeCell ref="O16:O17"/>
    <mergeCell ref="P16:P17"/>
    <mergeCell ref="Q16:Q17"/>
    <mergeCell ref="A18:A19"/>
    <mergeCell ref="B18:B19"/>
    <mergeCell ref="C18:C19"/>
    <mergeCell ref="M18:M19"/>
    <mergeCell ref="N18:N19"/>
    <mergeCell ref="O18:O19"/>
    <mergeCell ref="P18:P19"/>
    <mergeCell ref="Q18:Q19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8" sqref="A18"/>
    </sheetView>
  </sheetViews>
  <sheetFormatPr defaultColWidth="9.140625" defaultRowHeight="15" customHeight="1"/>
  <cols>
    <col min="1" max="1" width="5.8515625" style="29" customWidth="1"/>
    <col min="2" max="2" width="16.7109375" style="29" customWidth="1"/>
    <col min="3" max="3" width="10.28125" style="29" customWidth="1"/>
    <col min="4" max="7" width="9.140625" style="29" customWidth="1"/>
    <col min="8" max="8" width="7.8515625" style="29" customWidth="1"/>
    <col min="9" max="9" width="7.00390625" style="29" customWidth="1"/>
    <col min="10" max="10" width="9.00390625" style="29" customWidth="1"/>
    <col min="11" max="11" width="7.28125" style="29" customWidth="1"/>
    <col min="12" max="12" width="7.57421875" style="29" customWidth="1"/>
    <col min="13" max="13" width="9.140625" style="29" customWidth="1"/>
    <col min="14" max="14" width="6.8515625" style="29" customWidth="1"/>
    <col min="15" max="16384" width="9.140625" style="29" customWidth="1"/>
  </cols>
  <sheetData>
    <row r="1" spans="3:15" ht="15" customHeight="1">
      <c r="C1" s="30"/>
      <c r="E1" s="30"/>
      <c r="G1" s="30"/>
      <c r="N1" s="31"/>
      <c r="O1" s="31"/>
    </row>
    <row r="2" spans="1:15" ht="15" customHeight="1">
      <c r="A2" s="32"/>
      <c r="B2" s="33"/>
      <c r="C2" s="34"/>
      <c r="E2" s="35"/>
      <c r="F2" s="6" t="s">
        <v>102</v>
      </c>
      <c r="G2" s="6"/>
      <c r="H2" s="6"/>
      <c r="N2" s="31"/>
      <c r="O2" s="31"/>
    </row>
    <row r="3" spans="1:15" ht="15" customHeight="1">
      <c r="A3" s="32"/>
      <c r="B3" s="33" t="s">
        <v>49</v>
      </c>
      <c r="C3" s="34">
        <f>_TUE4</f>
        <v>1260</v>
      </c>
      <c r="D3" s="35"/>
      <c r="E3" s="35"/>
      <c r="F3" s="6" t="s">
        <v>113</v>
      </c>
      <c r="G3" s="6"/>
      <c r="H3" s="6"/>
      <c r="N3" s="31"/>
      <c r="O3" s="31"/>
    </row>
    <row r="4" spans="1:15" ht="15" customHeight="1">
      <c r="A4" s="32"/>
      <c r="B4" s="33" t="s">
        <v>51</v>
      </c>
      <c r="C4" s="34">
        <f>MIN(P:P)</f>
        <v>95</v>
      </c>
      <c r="D4" s="35"/>
      <c r="E4" s="35"/>
      <c r="N4" s="31"/>
      <c r="O4" s="31"/>
    </row>
    <row r="5" spans="1:15" ht="15" customHeight="1">
      <c r="A5" s="34" t="s">
        <v>52</v>
      </c>
      <c r="B5" s="34"/>
      <c r="C5" s="34"/>
      <c r="D5" s="35"/>
      <c r="E5" s="35"/>
      <c r="N5" s="31"/>
      <c r="O5" s="31"/>
    </row>
    <row r="6" spans="1:15" ht="15" customHeight="1">
      <c r="A6" s="36"/>
      <c r="N6" s="31"/>
      <c r="O6" s="31"/>
    </row>
    <row r="7" spans="1:17" ht="15.75" customHeight="1">
      <c r="A7" s="37" t="s">
        <v>53</v>
      </c>
      <c r="B7" s="38" t="s">
        <v>54</v>
      </c>
      <c r="C7" s="39" t="s">
        <v>55</v>
      </c>
      <c r="D7" s="38" t="s">
        <v>56</v>
      </c>
      <c r="E7" s="38" t="s">
        <v>57</v>
      </c>
      <c r="F7" s="38" t="s">
        <v>58</v>
      </c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9" t="s">
        <v>65</v>
      </c>
      <c r="N7" s="38" t="s">
        <v>66</v>
      </c>
      <c r="O7" s="38" t="s">
        <v>67</v>
      </c>
      <c r="P7" s="38" t="s">
        <v>68</v>
      </c>
      <c r="Q7" s="38" t="s">
        <v>69</v>
      </c>
    </row>
    <row r="8" spans="1:17" ht="15" customHeight="1">
      <c r="A8" s="67">
        <f>dane_TU!A2</f>
        <v>101</v>
      </c>
      <c r="B8" s="41" t="str">
        <f>dane_TU!B2</f>
        <v>Joanna Badowska
Wioletta Ziemnicka</v>
      </c>
      <c r="C8" s="41" t="str">
        <f>dane_TU!C2</f>
        <v>ZSP Białobrzegi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>
        <v>1</v>
      </c>
      <c r="P8" s="45" t="str">
        <f>IF(O8="",90*D9+60*E9+25*F9+15*G9+10*H9+10*I9+30*(J9+K9+L9)+M8+N8,"NKL")</f>
        <v>NKL</v>
      </c>
      <c r="Q8" s="46">
        <f>IF(P8&lt;&gt;"",IF(ISNUMBER(P8),MAX(1000*(($C$3+$C$4-P8)/$C$3),1),0))</f>
        <v>0</v>
      </c>
    </row>
    <row r="9" spans="1:17" ht="15" customHeight="1">
      <c r="A9" s="67"/>
      <c r="B9" s="41"/>
      <c r="C9" s="41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6"/>
    </row>
    <row r="10" spans="1:17" ht="15" customHeight="1">
      <c r="A10" s="67">
        <f>dane_TU!A3</f>
        <v>105</v>
      </c>
      <c r="B10" s="41" t="str">
        <f>dane_TU!B3</f>
        <v>Magda Maszewska
Jarosław Chodkowski</v>
      </c>
      <c r="C10" s="41" t="str">
        <f>dane_TU!C3</f>
        <v>Chrupki SKPB Trail Team</v>
      </c>
      <c r="D10" s="44"/>
      <c r="E10" s="44"/>
      <c r="F10" s="44">
        <v>9</v>
      </c>
      <c r="G10" s="44"/>
      <c r="H10" s="44"/>
      <c r="I10" s="44"/>
      <c r="J10" s="44"/>
      <c r="K10" s="44"/>
      <c r="L10" s="44"/>
      <c r="M10" s="44">
        <v>10</v>
      </c>
      <c r="N10" s="44"/>
      <c r="O10" s="44"/>
      <c r="P10" s="45">
        <f aca="true" t="shared" si="0" ref="P10">IF(O10="",90*D11+60*E11+25*F11+15*G11+10*H11+10*I11+30*(J11+K11+L11)+M10+N10,"NKL")</f>
        <v>95</v>
      </c>
      <c r="Q10" s="46">
        <f aca="true" t="shared" si="1" ref="Q10">IF(P10&lt;&gt;"",IF(ISNUMBER(P10),MAX(1000*(($C$3+$C$4-P10)/$C$3),1),0))</f>
        <v>1000</v>
      </c>
    </row>
    <row r="11" spans="1:17" ht="15" customHeight="1">
      <c r="A11" s="67"/>
      <c r="B11" s="41"/>
      <c r="C11" s="41"/>
      <c r="D11" s="44"/>
      <c r="E11" s="44">
        <v>1</v>
      </c>
      <c r="F11" s="44">
        <v>1</v>
      </c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46"/>
    </row>
    <row r="12" spans="1:17" ht="15.75" customHeight="1">
      <c r="A12" s="67">
        <f>dane_TU!A4</f>
        <v>106</v>
      </c>
      <c r="B12" s="41" t="str">
        <f>dane_TU!B4</f>
        <v>Michal Murgrabia
Krzysztof Chojnowski</v>
      </c>
      <c r="C12" s="41" t="str">
        <f>dane_TU!C4</f>
        <v>Bracia Koala
Skierniewice</v>
      </c>
      <c r="D12" s="44"/>
      <c r="E12" s="44"/>
      <c r="F12" s="44"/>
      <c r="G12" s="44"/>
      <c r="H12" s="44"/>
      <c r="I12" s="44"/>
      <c r="J12" s="44"/>
      <c r="K12" s="44"/>
      <c r="L12" s="44"/>
      <c r="M12" s="44">
        <v>10</v>
      </c>
      <c r="N12" s="44"/>
      <c r="O12" s="44"/>
      <c r="P12" s="45">
        <f aca="true" t="shared" si="2" ref="P12">IF(O12="",90*D13+60*E13+25*F13+15*G13+10*H13+10*I13+30*(J13+K13+L13)+M12+N12,"NKL")</f>
        <v>1555</v>
      </c>
      <c r="Q12" s="46">
        <f aca="true" t="shared" si="3" ref="Q12">IF(P12&lt;&gt;"",IF(ISNUMBER(P12),MAX(1000*(($C$3+$C$4-P12)/$C$3),1),0))</f>
        <v>1</v>
      </c>
    </row>
    <row r="13" spans="1:17" ht="15" customHeight="1">
      <c r="A13" s="67"/>
      <c r="B13" s="41"/>
      <c r="C13" s="41"/>
      <c r="D13" s="44">
        <v>15</v>
      </c>
      <c r="E13" s="44">
        <v>3</v>
      </c>
      <c r="F13" s="44"/>
      <c r="G13" s="44">
        <v>1</v>
      </c>
      <c r="H13" s="44"/>
      <c r="I13" s="44"/>
      <c r="J13" s="44"/>
      <c r="K13" s="44"/>
      <c r="L13" s="44"/>
      <c r="M13" s="44"/>
      <c r="N13" s="44"/>
      <c r="O13" s="44"/>
      <c r="P13" s="45"/>
      <c r="Q13" s="46"/>
    </row>
    <row r="14" spans="1:17" ht="15" customHeight="1">
      <c r="A14" s="67">
        <f>dane_TU!A5</f>
        <v>107</v>
      </c>
      <c r="B14" s="41" t="str">
        <f>dane_TU!B5</f>
        <v>Zuzanna Żak
Luiza Rosłanowska
Urszula Piasecka</v>
      </c>
      <c r="C14" s="41" t="str">
        <f>dane_TU!C5</f>
        <v>PG 23 Radom</v>
      </c>
      <c r="D14" s="44"/>
      <c r="E14" s="44"/>
      <c r="F14" s="44"/>
      <c r="G14" s="44"/>
      <c r="H14" s="44"/>
      <c r="I14" s="44"/>
      <c r="J14" s="44"/>
      <c r="K14" s="44"/>
      <c r="L14" s="44"/>
      <c r="M14" s="44">
        <v>10</v>
      </c>
      <c r="N14" s="44"/>
      <c r="O14" s="44"/>
      <c r="P14" s="45">
        <f aca="true" t="shared" si="4" ref="P14">IF(O14="",90*D15+60*E15+25*F15+15*G15+10*H15+10*I15+30*(J15+K15+L15)+M14+N14,"NKL")</f>
        <v>1105</v>
      </c>
      <c r="Q14" s="46">
        <f aca="true" t="shared" si="5" ref="Q14">IF(P14&lt;&gt;"",IF(ISNUMBER(P14),MAX(1000*(($C$3+$C$4-P14)/$C$3),1),0))</f>
        <v>198.4126984126984</v>
      </c>
    </row>
    <row r="15" spans="1:17" ht="15" customHeight="1">
      <c r="A15" s="67"/>
      <c r="B15" s="41"/>
      <c r="C15" s="41"/>
      <c r="D15" s="44">
        <v>12</v>
      </c>
      <c r="E15" s="44"/>
      <c r="F15" s="44"/>
      <c r="G15" s="44">
        <v>1</v>
      </c>
      <c r="H15" s="44"/>
      <c r="I15" s="44"/>
      <c r="J15" s="44"/>
      <c r="K15" s="44"/>
      <c r="L15" s="44"/>
      <c r="M15" s="44"/>
      <c r="N15" s="44"/>
      <c r="O15" s="44"/>
      <c r="P15" s="45"/>
      <c r="Q15" s="46"/>
    </row>
    <row r="16" spans="1:17" ht="15" customHeight="1">
      <c r="A16" s="67">
        <f>dane_TU!A6</f>
        <v>108</v>
      </c>
      <c r="B16" s="41" t="str">
        <f>dane_TU!B6</f>
        <v>Rafał Łyżwa
Kuba Kosterna</v>
      </c>
      <c r="C16" s="41" t="str">
        <f>dane_TU!C6</f>
        <v>PG 23 Radom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</v>
      </c>
      <c r="P16" s="45" t="str">
        <f aca="true" t="shared" si="6" ref="P16">IF(O16="",90*D17+60*E17+25*F17+15*G17+10*H17+10*I17+30*(J17+K17+L17)+M16+N16,"NKL")</f>
        <v>NKL</v>
      </c>
      <c r="Q16" s="46">
        <f aca="true" t="shared" si="7" ref="Q16">IF(P16&lt;&gt;"",IF(ISNUMBER(P16),MAX(1000*(($C$3+$C$4-P16)/$C$3),1),0))</f>
        <v>0</v>
      </c>
    </row>
    <row r="17" spans="1:17" ht="15" customHeight="1">
      <c r="A17" s="67"/>
      <c r="B17" s="41"/>
      <c r="C17" s="41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</row>
    <row r="18" spans="1:17" ht="15.75" customHeight="1">
      <c r="A18" s="67">
        <f>dane_TU!A7</f>
        <v>109</v>
      </c>
      <c r="B18" s="41" t="str">
        <f>dane_TU!B7</f>
        <v>Przybylski Andrzej
Kozakiewicz Ewa</v>
      </c>
      <c r="C18" s="41" t="str">
        <f>dane_TU!C7</f>
        <v>PG 23 Radom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1</v>
      </c>
      <c r="P18" s="45" t="str">
        <f aca="true" t="shared" si="8" ref="P18">IF(O18="",90*D19+60*E19+25*F19+15*G19+10*H19+10*I19+30*(J19+K19+L19)+M18+N18,"NKL")</f>
        <v>NKL</v>
      </c>
      <c r="Q18" s="46">
        <f aca="true" t="shared" si="9" ref="Q18">IF(P18&lt;&gt;"",IF(ISNUMBER(P18),MAX(1000*(($C$3+$C$4-P18)/$C$3),1),0))</f>
        <v>0</v>
      </c>
    </row>
    <row r="19" spans="1:17" ht="15" customHeight="1">
      <c r="A19" s="67"/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46"/>
    </row>
  </sheetData>
  <sheetProtection selectLockedCells="1" selectUnlockedCells="1"/>
  <mergeCells count="50">
    <mergeCell ref="F2:H2"/>
    <mergeCell ref="F3:H3"/>
    <mergeCell ref="A8:A9"/>
    <mergeCell ref="B8:B9"/>
    <mergeCell ref="C8:C9"/>
    <mergeCell ref="M8:M9"/>
    <mergeCell ref="N8:N9"/>
    <mergeCell ref="O8:O9"/>
    <mergeCell ref="P8:P9"/>
    <mergeCell ref="Q8:Q9"/>
    <mergeCell ref="A10:A11"/>
    <mergeCell ref="B10:B11"/>
    <mergeCell ref="C10:C11"/>
    <mergeCell ref="M10:M11"/>
    <mergeCell ref="N10:N11"/>
    <mergeCell ref="O10:O11"/>
    <mergeCell ref="P10:P11"/>
    <mergeCell ref="Q10:Q11"/>
    <mergeCell ref="A12:A13"/>
    <mergeCell ref="B12:B13"/>
    <mergeCell ref="C12:C13"/>
    <mergeCell ref="M12:M13"/>
    <mergeCell ref="N12:N13"/>
    <mergeCell ref="O12:O13"/>
    <mergeCell ref="P12:P13"/>
    <mergeCell ref="Q12:Q13"/>
    <mergeCell ref="A14:A15"/>
    <mergeCell ref="B14:B15"/>
    <mergeCell ref="C14:C15"/>
    <mergeCell ref="M14:M15"/>
    <mergeCell ref="N14:N15"/>
    <mergeCell ref="O14:O15"/>
    <mergeCell ref="P14:P15"/>
    <mergeCell ref="Q14:Q15"/>
    <mergeCell ref="A16:A17"/>
    <mergeCell ref="B16:B17"/>
    <mergeCell ref="C16:C17"/>
    <mergeCell ref="M16:M17"/>
    <mergeCell ref="N16:N17"/>
    <mergeCell ref="O16:O17"/>
    <mergeCell ref="P16:P17"/>
    <mergeCell ref="Q16:Q17"/>
    <mergeCell ref="A18:A19"/>
    <mergeCell ref="B18:B19"/>
    <mergeCell ref="C18:C19"/>
    <mergeCell ref="M18:M19"/>
    <mergeCell ref="N18:N19"/>
    <mergeCell ref="O18:O19"/>
    <mergeCell ref="P18:P19"/>
    <mergeCell ref="Q18:Q19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Zgoda</cp:lastModifiedBy>
  <cp:lastPrinted>2013-03-20T19:51:26Z</cp:lastPrinted>
  <dcterms:created xsi:type="dcterms:W3CDTF">2013-02-01T21:41:23Z</dcterms:created>
  <dcterms:modified xsi:type="dcterms:W3CDTF">2013-03-20T19:52:08Z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